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процессУУ" sheetId="1" r:id="rId1"/>
    <sheet name="Rep" sheetId="2" r:id="rId2"/>
    <sheet name="CAPEX" sheetId="5" r:id="rId3"/>
    <sheet name="List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3" i="2" l="1"/>
  <c r="V92" i="2" s="1"/>
  <c r="W93" i="2"/>
  <c r="X93" i="2"/>
  <c r="Y93" i="2"/>
  <c r="Z93" i="2"/>
  <c r="AA93" i="2"/>
  <c r="AB93" i="2"/>
  <c r="AB92" i="2" s="1"/>
  <c r="V94" i="2"/>
  <c r="W94" i="2"/>
  <c r="W92" i="2" s="1"/>
  <c r="X94" i="2"/>
  <c r="Y94" i="2"/>
  <c r="Z94" i="2"/>
  <c r="AA94" i="2"/>
  <c r="AB94" i="2"/>
  <c r="V95" i="2"/>
  <c r="W95" i="2"/>
  <c r="X95" i="2"/>
  <c r="X92" i="2" s="1"/>
  <c r="Y95" i="2"/>
  <c r="Z95" i="2"/>
  <c r="AA95" i="2"/>
  <c r="AB95" i="2"/>
  <c r="V96" i="2"/>
  <c r="W96" i="2"/>
  <c r="X96" i="2"/>
  <c r="Y96" i="2"/>
  <c r="Y92" i="2" s="1"/>
  <c r="Z96" i="2"/>
  <c r="AA96" i="2"/>
  <c r="AB96" i="2"/>
  <c r="V97" i="2"/>
  <c r="W97" i="2"/>
  <c r="X97" i="2"/>
  <c r="Y97" i="2"/>
  <c r="Z97" i="2"/>
  <c r="AA97" i="2"/>
  <c r="AB97" i="2"/>
  <c r="U94" i="2"/>
  <c r="U95" i="2"/>
  <c r="U96" i="2"/>
  <c r="U97" i="2"/>
  <c r="U93" i="2"/>
  <c r="U232" i="2"/>
  <c r="Z92" i="2"/>
  <c r="AA92" i="2"/>
  <c r="H94" i="2"/>
  <c r="H95" i="2"/>
  <c r="H96" i="2"/>
  <c r="H97" i="2"/>
  <c r="H93" i="2"/>
  <c r="G97" i="2"/>
  <c r="G96" i="2"/>
  <c r="G95" i="2"/>
  <c r="G94" i="2"/>
  <c r="G93" i="2"/>
  <c r="V152" i="2"/>
  <c r="W152" i="2"/>
  <c r="X152" i="2"/>
  <c r="Y152" i="2"/>
  <c r="Z152" i="2"/>
  <c r="AA152" i="2"/>
  <c r="AB152" i="2"/>
  <c r="AB151" i="2" s="1"/>
  <c r="V153" i="2"/>
  <c r="V151" i="2" s="1"/>
  <c r="W153" i="2"/>
  <c r="X153" i="2"/>
  <c r="Y153" i="2"/>
  <c r="Z153" i="2"/>
  <c r="AA153" i="2"/>
  <c r="AB153" i="2"/>
  <c r="V154" i="2"/>
  <c r="W154" i="2"/>
  <c r="W151" i="2" s="1"/>
  <c r="X154" i="2"/>
  <c r="Y154" i="2"/>
  <c r="Z154" i="2"/>
  <c r="AA154" i="2"/>
  <c r="AB154" i="2"/>
  <c r="V155" i="2"/>
  <c r="W155" i="2"/>
  <c r="X155" i="2"/>
  <c r="X151" i="2" s="1"/>
  <c r="Y155" i="2"/>
  <c r="Z155" i="2"/>
  <c r="AA155" i="2"/>
  <c r="AB155" i="2"/>
  <c r="V156" i="2"/>
  <c r="W156" i="2"/>
  <c r="X156" i="2"/>
  <c r="Y156" i="2"/>
  <c r="Y151" i="2" s="1"/>
  <c r="Z156" i="2"/>
  <c r="AA156" i="2"/>
  <c r="AB156" i="2"/>
  <c r="U153" i="2"/>
  <c r="U154" i="2"/>
  <c r="U155" i="2"/>
  <c r="U156" i="2"/>
  <c r="U152" i="2"/>
  <c r="Z151" i="2"/>
  <c r="AA151" i="2"/>
  <c r="G156" i="2"/>
  <c r="G155" i="2"/>
  <c r="H156" i="2"/>
  <c r="H155" i="2"/>
  <c r="G154" i="2"/>
  <c r="G153" i="2"/>
  <c r="G152" i="2"/>
  <c r="H153" i="2"/>
  <c r="H154" i="2"/>
  <c r="H152" i="2"/>
  <c r="J5" i="3"/>
  <c r="U174" i="2"/>
  <c r="U175" i="2"/>
  <c r="U173" i="2"/>
  <c r="M72" i="5"/>
  <c r="M67" i="5"/>
  <c r="M62" i="5"/>
  <c r="N62" i="5"/>
  <c r="G71" i="5"/>
  <c r="G72" i="5" s="1"/>
  <c r="G66" i="5"/>
  <c r="G67" i="5" s="1"/>
  <c r="G61" i="5"/>
  <c r="G62" i="5" s="1"/>
  <c r="Y64" i="5"/>
  <c r="U64" i="5"/>
  <c r="A73" i="5"/>
  <c r="H72" i="5"/>
  <c r="A72" i="5"/>
  <c r="A71" i="5"/>
  <c r="A70" i="5"/>
  <c r="A69" i="5"/>
  <c r="N72" i="5" s="1"/>
  <c r="A68" i="5"/>
  <c r="H67" i="5"/>
  <c r="A67" i="5"/>
  <c r="A66" i="5"/>
  <c r="A65" i="5"/>
  <c r="A64" i="5"/>
  <c r="N67" i="5" s="1"/>
  <c r="A63" i="5"/>
  <c r="H62" i="5"/>
  <c r="A62" i="5"/>
  <c r="A61" i="5"/>
  <c r="A60" i="5"/>
  <c r="A59" i="5"/>
  <c r="G56" i="5"/>
  <c r="G57" i="5" s="1"/>
  <c r="G51" i="5"/>
  <c r="G52" i="5" s="1"/>
  <c r="G46" i="5"/>
  <c r="G47" i="5" s="1"/>
  <c r="N57" i="5"/>
  <c r="N52" i="5"/>
  <c r="N47" i="5"/>
  <c r="AB54" i="5"/>
  <c r="AA54" i="5"/>
  <c r="Z54" i="5"/>
  <c r="Y54" i="5"/>
  <c r="X54" i="5"/>
  <c r="W54" i="5"/>
  <c r="V54" i="5"/>
  <c r="AB49" i="5"/>
  <c r="AA49" i="5"/>
  <c r="Z49" i="5"/>
  <c r="Y49" i="5"/>
  <c r="X49" i="5"/>
  <c r="W49" i="5"/>
  <c r="V49" i="5"/>
  <c r="W44" i="5"/>
  <c r="X44" i="5"/>
  <c r="Y44" i="5"/>
  <c r="Z44" i="5"/>
  <c r="AA44" i="5"/>
  <c r="AB44" i="5"/>
  <c r="V44" i="5"/>
  <c r="A58" i="5"/>
  <c r="M57" i="5"/>
  <c r="H57" i="5"/>
  <c r="A57" i="5"/>
  <c r="A56" i="5"/>
  <c r="A55" i="5"/>
  <c r="A54" i="5"/>
  <c r="A53" i="5"/>
  <c r="M52" i="5"/>
  <c r="H52" i="5"/>
  <c r="A52" i="5"/>
  <c r="A51" i="5"/>
  <c r="A50" i="5"/>
  <c r="A49" i="5"/>
  <c r="A48" i="5"/>
  <c r="M47" i="5"/>
  <c r="H47" i="5"/>
  <c r="A47" i="5"/>
  <c r="A46" i="5"/>
  <c r="A45" i="5"/>
  <c r="A44" i="5"/>
  <c r="N27" i="5"/>
  <c r="N22" i="5"/>
  <c r="N17" i="5"/>
  <c r="N32" i="5"/>
  <c r="N42" i="5"/>
  <c r="N37" i="5"/>
  <c r="G41" i="5"/>
  <c r="G42" i="5" s="1"/>
  <c r="G36" i="5"/>
  <c r="G37" i="5" s="1"/>
  <c r="G31" i="5"/>
  <c r="G32" i="5" s="1"/>
  <c r="A43" i="5"/>
  <c r="M42" i="5"/>
  <c r="H42" i="5"/>
  <c r="A42" i="5"/>
  <c r="A41" i="5"/>
  <c r="A40" i="5"/>
  <c r="A39" i="5"/>
  <c r="A38" i="5"/>
  <c r="M37" i="5"/>
  <c r="H37" i="5"/>
  <c r="A37" i="5"/>
  <c r="A36" i="5"/>
  <c r="A35" i="5"/>
  <c r="A34" i="5"/>
  <c r="A33" i="5"/>
  <c r="M32" i="5"/>
  <c r="H32" i="5"/>
  <c r="A32" i="5"/>
  <c r="A31" i="5"/>
  <c r="A30" i="5"/>
  <c r="A29" i="5"/>
  <c r="M27" i="5"/>
  <c r="H27" i="5"/>
  <c r="A28" i="5"/>
  <c r="A27" i="5"/>
  <c r="G26" i="5"/>
  <c r="G27" i="5" s="1"/>
  <c r="A26" i="5"/>
  <c r="A25" i="5"/>
  <c r="A24" i="5"/>
  <c r="M22" i="5"/>
  <c r="M17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6" i="5"/>
  <c r="H22" i="5"/>
  <c r="G21" i="5"/>
  <c r="G22" i="5" s="1"/>
  <c r="H17" i="5"/>
  <c r="G16" i="5"/>
  <c r="H78" i="2"/>
  <c r="G78" i="2"/>
  <c r="H77" i="2"/>
  <c r="G77" i="2"/>
  <c r="H76" i="2"/>
  <c r="G76" i="2"/>
  <c r="H163" i="2"/>
  <c r="G163" i="2"/>
  <c r="H162" i="2"/>
  <c r="G162" i="2"/>
  <c r="H161" i="2"/>
  <c r="G161" i="2"/>
  <c r="H167" i="2"/>
  <c r="G167" i="2"/>
  <c r="H166" i="2"/>
  <c r="G166" i="2"/>
  <c r="H165" i="2"/>
  <c r="G165" i="2"/>
  <c r="R39" i="2"/>
  <c r="R17" i="2"/>
  <c r="R13" i="2"/>
  <c r="R9" i="2"/>
  <c r="U17" i="2"/>
  <c r="U13" i="2"/>
  <c r="H42" i="2"/>
  <c r="G42" i="2"/>
  <c r="H41" i="2"/>
  <c r="G41" i="2"/>
  <c r="H40" i="2"/>
  <c r="G40" i="2"/>
  <c r="H20" i="2"/>
  <c r="G20" i="2"/>
  <c r="H19" i="2"/>
  <c r="G19" i="2"/>
  <c r="H18" i="2"/>
  <c r="G18" i="2"/>
  <c r="H16" i="2"/>
  <c r="G16" i="2"/>
  <c r="H15" i="2"/>
  <c r="G15" i="2"/>
  <c r="H14" i="2"/>
  <c r="G14" i="2"/>
  <c r="H12" i="2"/>
  <c r="G12" i="2"/>
  <c r="H11" i="2"/>
  <c r="G11" i="2"/>
  <c r="H10" i="2"/>
  <c r="G10" i="2"/>
  <c r="H230" i="2"/>
  <c r="G230" i="2"/>
  <c r="H229" i="2"/>
  <c r="G229" i="2"/>
  <c r="H228" i="2"/>
  <c r="G228" i="2"/>
  <c r="H208" i="2"/>
  <c r="G208" i="2"/>
  <c r="H207" i="2"/>
  <c r="G207" i="2"/>
  <c r="H206" i="2"/>
  <c r="G206" i="2"/>
  <c r="H204" i="2"/>
  <c r="G204" i="2"/>
  <c r="H203" i="2"/>
  <c r="G203" i="2"/>
  <c r="H202" i="2"/>
  <c r="G202" i="2"/>
  <c r="H200" i="2"/>
  <c r="G200" i="2"/>
  <c r="H199" i="2"/>
  <c r="G199" i="2"/>
  <c r="H198" i="2"/>
  <c r="G198" i="2"/>
  <c r="H74" i="2"/>
  <c r="G74" i="2"/>
  <c r="H73" i="2"/>
  <c r="G73" i="2"/>
  <c r="H72" i="2"/>
  <c r="G72" i="2"/>
  <c r="H70" i="2"/>
  <c r="G70" i="2"/>
  <c r="H69" i="2"/>
  <c r="G69" i="2"/>
  <c r="H68" i="2"/>
  <c r="G68" i="2"/>
  <c r="H175" i="2"/>
  <c r="G175" i="2"/>
  <c r="H174" i="2"/>
  <c r="G174" i="2"/>
  <c r="H173" i="2"/>
  <c r="G173" i="2"/>
  <c r="H171" i="2"/>
  <c r="G171" i="2"/>
  <c r="H170" i="2"/>
  <c r="G170" i="2"/>
  <c r="H169" i="2"/>
  <c r="G169" i="2"/>
  <c r="G106" i="2"/>
  <c r="G105" i="2"/>
  <c r="G104" i="2"/>
  <c r="H106" i="2"/>
  <c r="H105" i="2"/>
  <c r="H104" i="2"/>
  <c r="AB3" i="5"/>
  <c r="AB59" i="5" s="1"/>
  <c r="AA3" i="5"/>
  <c r="AA59" i="5" s="1"/>
  <c r="Z3" i="5"/>
  <c r="Z59" i="5" s="1"/>
  <c r="Y3" i="5"/>
  <c r="Y59" i="5" s="1"/>
  <c r="X3" i="5"/>
  <c r="X69" i="5" s="1"/>
  <c r="W3" i="5"/>
  <c r="W59" i="5" s="1"/>
  <c r="V3" i="5"/>
  <c r="V69" i="5" s="1"/>
  <c r="U3" i="5"/>
  <c r="U69" i="5" s="1"/>
  <c r="R3" i="5"/>
  <c r="R4" i="5"/>
  <c r="AB1" i="5"/>
  <c r="AA1" i="5"/>
  <c r="Z1" i="5"/>
  <c r="Y1" i="5"/>
  <c r="X1" i="5"/>
  <c r="W1" i="5"/>
  <c r="V1" i="5"/>
  <c r="U1" i="5"/>
  <c r="V213" i="2"/>
  <c r="U213" i="2"/>
  <c r="U235" i="2"/>
  <c r="X225" i="2"/>
  <c r="Y225" i="2"/>
  <c r="U225" i="2"/>
  <c r="U210" i="2"/>
  <c r="V243" i="2"/>
  <c r="V241" i="2"/>
  <c r="V240" i="2"/>
  <c r="V239" i="2"/>
  <c r="V238" i="2"/>
  <c r="V237" i="2"/>
  <c r="V236" i="2"/>
  <c r="V234" i="2"/>
  <c r="V233" i="2"/>
  <c r="V231" i="2"/>
  <c r="V226" i="2"/>
  <c r="V223" i="2"/>
  <c r="V214" i="2"/>
  <c r="V212" i="2"/>
  <c r="V211" i="2"/>
  <c r="V209" i="2"/>
  <c r="V113" i="2"/>
  <c r="W113" i="2"/>
  <c r="X113" i="2"/>
  <c r="Y113" i="2"/>
  <c r="Z113" i="2"/>
  <c r="AA113" i="2"/>
  <c r="AB113" i="2"/>
  <c r="U113" i="2"/>
  <c r="R24" i="5"/>
  <c r="R19" i="5"/>
  <c r="R14" i="5"/>
  <c r="R12" i="5"/>
  <c r="R10" i="5"/>
  <c r="R8" i="5"/>
  <c r="U92" i="2" l="1"/>
  <c r="Z50" i="5"/>
  <c r="V59" i="5"/>
  <c r="U151" i="2"/>
  <c r="Z69" i="5"/>
  <c r="V60" i="5"/>
  <c r="U59" i="5"/>
  <c r="AB69" i="5"/>
  <c r="U70" i="5" s="1"/>
  <c r="Z64" i="5"/>
  <c r="AB64" i="5"/>
  <c r="Y69" i="5"/>
  <c r="Y45" i="5"/>
  <c r="AB40" i="5"/>
  <c r="U50" i="5"/>
  <c r="W55" i="5"/>
  <c r="AA64" i="5"/>
  <c r="V65" i="5" s="1"/>
  <c r="AA69" i="5"/>
  <c r="V70" i="5" s="1"/>
  <c r="V30" i="5"/>
  <c r="Y40" i="5"/>
  <c r="U60" i="5"/>
  <c r="X25" i="5"/>
  <c r="X35" i="5"/>
  <c r="Y25" i="5"/>
  <c r="Y35" i="5"/>
  <c r="X55" i="5"/>
  <c r="G17" i="5"/>
  <c r="W50" i="5"/>
  <c r="AA60" i="5"/>
  <c r="W25" i="5"/>
  <c r="W35" i="5"/>
  <c r="AA45" i="5"/>
  <c r="V55" i="5"/>
  <c r="Y70" i="5"/>
  <c r="AB35" i="5"/>
  <c r="AB20" i="5"/>
  <c r="AA25" i="5"/>
  <c r="AA30" i="5"/>
  <c r="U40" i="5"/>
  <c r="V45" i="5"/>
  <c r="X50" i="5"/>
  <c r="Z55" i="5"/>
  <c r="W70" i="5"/>
  <c r="V64" i="5"/>
  <c r="AA65" i="5" s="1"/>
  <c r="W20" i="5"/>
  <c r="V25" i="5"/>
  <c r="U30" i="5"/>
  <c r="X40" i="5"/>
  <c r="Z60" i="5"/>
  <c r="X30" i="5"/>
  <c r="V50" i="5"/>
  <c r="Z25" i="5"/>
  <c r="U20" i="5"/>
  <c r="AB25" i="5"/>
  <c r="AB30" i="5"/>
  <c r="V40" i="5"/>
  <c r="W45" i="5"/>
  <c r="Y50" i="5"/>
  <c r="U65" i="5"/>
  <c r="X70" i="5"/>
  <c r="X59" i="5"/>
  <c r="W64" i="5"/>
  <c r="W69" i="5"/>
  <c r="V35" i="5"/>
  <c r="U55" i="5"/>
  <c r="W65" i="5"/>
  <c r="AA70" i="5"/>
  <c r="X20" i="5"/>
  <c r="Y20" i="5"/>
  <c r="W30" i="5"/>
  <c r="Z20" i="5"/>
  <c r="X60" i="5"/>
  <c r="Y65" i="5"/>
  <c r="AA20" i="5"/>
  <c r="Y30" i="5"/>
  <c r="U45" i="5"/>
  <c r="Y55" i="5"/>
  <c r="X65" i="5"/>
  <c r="V20" i="5"/>
  <c r="U25" i="5"/>
  <c r="U35" i="5"/>
  <c r="W40" i="5"/>
  <c r="X45" i="5"/>
  <c r="X64" i="5"/>
  <c r="U49" i="5"/>
  <c r="AB50" i="5" s="1"/>
  <c r="U54" i="5"/>
  <c r="AB55" i="5" s="1"/>
  <c r="U44" i="5"/>
  <c r="AB45" i="5" s="1"/>
  <c r="U166" i="2"/>
  <c r="U163" i="2"/>
  <c r="U167" i="2"/>
  <c r="Y165" i="2"/>
  <c r="Z163" i="2"/>
  <c r="AA161" i="2"/>
  <c r="V39" i="5"/>
  <c r="V34" i="5"/>
  <c r="W29" i="5"/>
  <c r="Y60" i="5" s="1"/>
  <c r="X77" i="2"/>
  <c r="AB76" i="2"/>
  <c r="X15" i="5"/>
  <c r="V15" i="5"/>
  <c r="U15" i="5"/>
  <c r="W15" i="5"/>
  <c r="AA15" i="5"/>
  <c r="Z15" i="5"/>
  <c r="Y15" i="5"/>
  <c r="AB15" i="5"/>
  <c r="U222" i="2"/>
  <c r="B177" i="2"/>
  <c r="B189" i="2"/>
  <c r="B186" i="2"/>
  <c r="B184" i="2"/>
  <c r="B179" i="2"/>
  <c r="B172" i="2"/>
  <c r="B168" i="2"/>
  <c r="B164" i="2"/>
  <c r="B160" i="2"/>
  <c r="B158" i="2"/>
  <c r="B157" i="2"/>
  <c r="B151" i="2"/>
  <c r="B149" i="2"/>
  <c r="B190" i="2"/>
  <c r="B185" i="2"/>
  <c r="B183" i="2"/>
  <c r="B176" i="2"/>
  <c r="B159" i="2"/>
  <c r="B150" i="2"/>
  <c r="B148" i="2"/>
  <c r="B147" i="2"/>
  <c r="B146" i="2"/>
  <c r="B135" i="2"/>
  <c r="B128" i="2"/>
  <c r="B140" i="2"/>
  <c r="B134" i="2"/>
  <c r="B130" i="2"/>
  <c r="B129" i="2"/>
  <c r="B121" i="2"/>
  <c r="B113" i="2"/>
  <c r="W128" i="2" s="1"/>
  <c r="B111" i="2"/>
  <c r="B110" i="2"/>
  <c r="B108" i="2"/>
  <c r="B101" i="2"/>
  <c r="B109" i="2"/>
  <c r="B107" i="2"/>
  <c r="B103" i="2"/>
  <c r="B100" i="2"/>
  <c r="B99" i="2"/>
  <c r="B98" i="2"/>
  <c r="B92" i="2"/>
  <c r="B90" i="2"/>
  <c r="B89" i="2"/>
  <c r="B88" i="2"/>
  <c r="B87" i="2"/>
  <c r="W55" i="2"/>
  <c r="U243" i="2"/>
  <c r="U241" i="2"/>
  <c r="V53" i="2" s="1"/>
  <c r="W53" i="2" s="1"/>
  <c r="U240" i="2"/>
  <c r="V52" i="2" s="1"/>
  <c r="W52" i="2" s="1"/>
  <c r="U239" i="2"/>
  <c r="V51" i="2" s="1"/>
  <c r="U238" i="2"/>
  <c r="U237" i="2"/>
  <c r="V49" i="2" s="1"/>
  <c r="W49" i="2" s="1"/>
  <c r="U236" i="2"/>
  <c r="U234" i="2"/>
  <c r="V46" i="2" s="1"/>
  <c r="W46" i="2" s="1"/>
  <c r="U233" i="2"/>
  <c r="V45" i="2" s="1"/>
  <c r="W45" i="2" s="1"/>
  <c r="U231" i="2"/>
  <c r="U226" i="2"/>
  <c r="U216" i="2"/>
  <c r="V28" i="2" s="1"/>
  <c r="U214" i="2"/>
  <c r="V26" i="2" s="1"/>
  <c r="W26" i="2" s="1"/>
  <c r="V47" i="2"/>
  <c r="V25" i="2"/>
  <c r="V235" i="2" s="1"/>
  <c r="U212" i="2"/>
  <c r="V24" i="2" s="1"/>
  <c r="W24" i="2" s="1"/>
  <c r="U211" i="2"/>
  <c r="V23" i="2" s="1"/>
  <c r="V44" i="2"/>
  <c r="V232" i="2" s="1"/>
  <c r="V22" i="2"/>
  <c r="U209" i="2"/>
  <c r="V21" i="2" s="1"/>
  <c r="W21" i="2" s="1"/>
  <c r="G188" i="2"/>
  <c r="G187" i="2"/>
  <c r="G182" i="2"/>
  <c r="G181" i="2"/>
  <c r="G180" i="2"/>
  <c r="G178" i="2"/>
  <c r="H132" i="2"/>
  <c r="H133" i="2"/>
  <c r="H131" i="2"/>
  <c r="G123" i="2"/>
  <c r="G124" i="2"/>
  <c r="G125" i="2"/>
  <c r="G126" i="2"/>
  <c r="G127" i="2"/>
  <c r="G122" i="2"/>
  <c r="G115" i="2"/>
  <c r="G116" i="2"/>
  <c r="G117" i="2"/>
  <c r="G118" i="2"/>
  <c r="G119" i="2"/>
  <c r="G120" i="2"/>
  <c r="G114" i="2"/>
  <c r="V34" i="2"/>
  <c r="U223" i="2"/>
  <c r="W43" i="2"/>
  <c r="W231" i="2" s="1"/>
  <c r="V55" i="2"/>
  <c r="U55" i="2"/>
  <c r="U54" i="2"/>
  <c r="U53" i="2"/>
  <c r="U52" i="2"/>
  <c r="W51" i="2"/>
  <c r="U51" i="2"/>
  <c r="V50" i="2"/>
  <c r="W50" i="2" s="1"/>
  <c r="U50" i="2"/>
  <c r="U49" i="2"/>
  <c r="V48" i="2"/>
  <c r="W48" i="2" s="1"/>
  <c r="U48" i="2"/>
  <c r="U47" i="2"/>
  <c r="U46" i="2"/>
  <c r="U45" i="2"/>
  <c r="U44" i="2"/>
  <c r="X43" i="2"/>
  <c r="V43" i="2"/>
  <c r="U43" i="2"/>
  <c r="U39" i="2"/>
  <c r="W38" i="2"/>
  <c r="V38" i="2"/>
  <c r="U38" i="2"/>
  <c r="U37" i="2"/>
  <c r="U36" i="2"/>
  <c r="W35" i="2"/>
  <c r="V35" i="2"/>
  <c r="U35" i="2"/>
  <c r="U34" i="2"/>
  <c r="U33" i="2" s="1"/>
  <c r="U28" i="2"/>
  <c r="U27" i="2"/>
  <c r="U26" i="2"/>
  <c r="U25" i="2"/>
  <c r="U24" i="2"/>
  <c r="W23" i="2"/>
  <c r="U23" i="2"/>
  <c r="U22" i="2"/>
  <c r="U21" i="2"/>
  <c r="U8" i="2"/>
  <c r="U9" i="2"/>
  <c r="G226" i="2"/>
  <c r="G225" i="2"/>
  <c r="G224" i="2"/>
  <c r="G223" i="2"/>
  <c r="G222" i="2"/>
  <c r="R8" i="2"/>
  <c r="R33" i="2"/>
  <c r="V1" i="2"/>
  <c r="W1" i="2"/>
  <c r="X1" i="2"/>
  <c r="Y1" i="2"/>
  <c r="Z1" i="2"/>
  <c r="AA1" i="2"/>
  <c r="AB1" i="2"/>
  <c r="U1" i="2"/>
  <c r="G35" i="2"/>
  <c r="G36" i="2"/>
  <c r="G37" i="2"/>
  <c r="G38" i="2"/>
  <c r="G34" i="2"/>
  <c r="V3" i="2"/>
  <c r="U4" i="2"/>
  <c r="U3" i="2"/>
  <c r="R64" i="5"/>
  <c r="U27" i="5"/>
  <c r="U42" i="5"/>
  <c r="U32" i="5"/>
  <c r="R69" i="5"/>
  <c r="U52" i="5"/>
  <c r="V47" i="5"/>
  <c r="U47" i="5"/>
  <c r="U57" i="5"/>
  <c r="R34" i="5"/>
  <c r="R39" i="5"/>
  <c r="R29" i="5"/>
  <c r="U37" i="5"/>
  <c r="V27" i="5"/>
  <c r="Y27" i="5"/>
  <c r="AA27" i="5"/>
  <c r="AB27" i="5"/>
  <c r="U17" i="5"/>
  <c r="U22" i="5"/>
  <c r="R188" i="2"/>
  <c r="R146" i="2"/>
  <c r="R157" i="2"/>
  <c r="R126" i="2"/>
  <c r="R98" i="2"/>
  <c r="R88" i="2"/>
  <c r="R100" i="2"/>
  <c r="R59" i="2"/>
  <c r="R62" i="2"/>
  <c r="R177" i="2"/>
  <c r="R113" i="2"/>
  <c r="R149" i="2"/>
  <c r="R180" i="2"/>
  <c r="R151" i="2"/>
  <c r="R92" i="2"/>
  <c r="R120" i="2"/>
  <c r="R87" i="2"/>
  <c r="R81" i="2"/>
  <c r="R60" i="2"/>
  <c r="R186" i="2"/>
  <c r="R133" i="2"/>
  <c r="R132" i="2"/>
  <c r="R139" i="2"/>
  <c r="R134" i="2"/>
  <c r="R127" i="2"/>
  <c r="R136" i="2"/>
  <c r="R64" i="2"/>
  <c r="R182" i="2"/>
  <c r="R189" i="2"/>
  <c r="R147" i="2"/>
  <c r="R178" i="2"/>
  <c r="R125" i="2"/>
  <c r="R124" i="2"/>
  <c r="R131" i="2"/>
  <c r="R138" i="2"/>
  <c r="R118" i="2"/>
  <c r="R119" i="2"/>
  <c r="R61" i="2"/>
  <c r="R181" i="2"/>
  <c r="R150" i="2"/>
  <c r="R158" i="2"/>
  <c r="R117" i="2"/>
  <c r="R116" i="2"/>
  <c r="R123" i="2"/>
  <c r="R130" i="2"/>
  <c r="R137" i="2"/>
  <c r="R110" i="2"/>
  <c r="R80" i="2"/>
  <c r="R79" i="2"/>
  <c r="R187" i="2"/>
  <c r="R184" i="2"/>
  <c r="R108" i="2"/>
  <c r="R107" i="2"/>
  <c r="R115" i="2"/>
  <c r="R122" i="2"/>
  <c r="R129" i="2"/>
  <c r="R109" i="2"/>
  <c r="R63" i="2"/>
  <c r="R99" i="2"/>
  <c r="R65" i="2"/>
  <c r="R179" i="2"/>
  <c r="R90" i="2"/>
  <c r="R114" i="2"/>
  <c r="R121" i="2"/>
  <c r="R82" i="2"/>
  <c r="R66" i="2"/>
  <c r="X76" i="2" l="1"/>
  <c r="Z162" i="2"/>
  <c r="AA77" i="2"/>
  <c r="AA75" i="2" s="1"/>
  <c r="Y76" i="2"/>
  <c r="W166" i="2"/>
  <c r="Z161" i="2"/>
  <c r="Z160" i="2" s="1"/>
  <c r="Y162" i="2"/>
  <c r="X166" i="2"/>
  <c r="V167" i="2"/>
  <c r="AB165" i="2"/>
  <c r="X167" i="2"/>
  <c r="AA76" i="2"/>
  <c r="W77" i="2"/>
  <c r="AB163" i="2"/>
  <c r="U77" i="2"/>
  <c r="Z78" i="2"/>
  <c r="Y78" i="2"/>
  <c r="AA166" i="2"/>
  <c r="U165" i="2"/>
  <c r="U164" i="2" s="1"/>
  <c r="W163" i="2"/>
  <c r="U78" i="2"/>
  <c r="X163" i="2"/>
  <c r="V165" i="2"/>
  <c r="AB167" i="2"/>
  <c r="Y163" i="2"/>
  <c r="W161" i="2"/>
  <c r="V166" i="2"/>
  <c r="U76" i="2"/>
  <c r="Z77" i="2"/>
  <c r="V76" i="2"/>
  <c r="AA165" i="2"/>
  <c r="Z167" i="2"/>
  <c r="U161" i="2"/>
  <c r="W167" i="2"/>
  <c r="X162" i="2"/>
  <c r="X160" i="2" s="1"/>
  <c r="V163" i="2"/>
  <c r="AB166" i="2"/>
  <c r="AB164" i="2" s="1"/>
  <c r="AA78" i="2"/>
  <c r="U162" i="2"/>
  <c r="U160" i="2" s="1"/>
  <c r="W76" i="2"/>
  <c r="Y161" i="2"/>
  <c r="AB78" i="2"/>
  <c r="Z76" i="2"/>
  <c r="W78" i="2"/>
  <c r="AA163" i="2"/>
  <c r="Z166" i="2"/>
  <c r="Y167" i="2"/>
  <c r="W162" i="2"/>
  <c r="X161" i="2"/>
  <c r="V162" i="2"/>
  <c r="AB161" i="2"/>
  <c r="Y77" i="2"/>
  <c r="AB162" i="2"/>
  <c r="AA167" i="2"/>
  <c r="X165" i="2"/>
  <c r="AB77" i="2"/>
  <c r="X78" i="2"/>
  <c r="V78" i="2"/>
  <c r="AA162" i="2"/>
  <c r="AA160" i="2" s="1"/>
  <c r="Z165" i="2"/>
  <c r="Y166" i="2"/>
  <c r="V77" i="2"/>
  <c r="W165" i="2"/>
  <c r="W164" i="2" s="1"/>
  <c r="V161" i="2"/>
  <c r="U70" i="2"/>
  <c r="AA35" i="5"/>
  <c r="Z65" i="5"/>
  <c r="AA40" i="5"/>
  <c r="Z70" i="5"/>
  <c r="V222" i="2"/>
  <c r="W34" i="2" s="1"/>
  <c r="W222" i="2" s="1"/>
  <c r="X34" i="2" s="1"/>
  <c r="X222" i="2" s="1"/>
  <c r="V216" i="2"/>
  <c r="W28" i="2" s="1"/>
  <c r="W216" i="2" s="1"/>
  <c r="X28" i="2" s="1"/>
  <c r="U172" i="2"/>
  <c r="U242" i="2" s="1"/>
  <c r="V54" i="2" s="1"/>
  <c r="AA164" i="2"/>
  <c r="Y160" i="2"/>
  <c r="W160" i="2"/>
  <c r="U74" i="2"/>
  <c r="U72" i="2"/>
  <c r="Y164" i="2"/>
  <c r="V160" i="2"/>
  <c r="Z164" i="2"/>
  <c r="Z40" i="5"/>
  <c r="Z35" i="5"/>
  <c r="Z30" i="5"/>
  <c r="W75" i="2"/>
  <c r="U73" i="2"/>
  <c r="AB75" i="2"/>
  <c r="Y75" i="2"/>
  <c r="X75" i="2"/>
  <c r="U75" i="2"/>
  <c r="AB70" i="2"/>
  <c r="AA70" i="2"/>
  <c r="Y70" i="2"/>
  <c r="V70" i="2"/>
  <c r="U69" i="2"/>
  <c r="U68" i="2"/>
  <c r="U5" i="2"/>
  <c r="U5" i="5" s="1"/>
  <c r="U4" i="5"/>
  <c r="U148" i="2"/>
  <c r="U159" i="2"/>
  <c r="U128" i="2"/>
  <c r="R32" i="2"/>
  <c r="W47" i="2"/>
  <c r="W25" i="2"/>
  <c r="W213" i="2" s="1"/>
  <c r="V210" i="2"/>
  <c r="W243" i="2"/>
  <c r="X55" i="2" s="1"/>
  <c r="W226" i="2"/>
  <c r="X38" i="2" s="1"/>
  <c r="W237" i="2"/>
  <c r="X49" i="2" s="1"/>
  <c r="W214" i="2"/>
  <c r="X26" i="2" s="1"/>
  <c r="X231" i="2"/>
  <c r="Y43" i="2" s="1"/>
  <c r="Y231" i="2" s="1"/>
  <c r="Z43" i="2" s="1"/>
  <c r="X53" i="2"/>
  <c r="W241" i="2"/>
  <c r="W239" i="2"/>
  <c r="X51" i="2" s="1"/>
  <c r="W209" i="2"/>
  <c r="X21" i="2" s="1"/>
  <c r="W238" i="2"/>
  <c r="X50" i="2" s="1"/>
  <c r="X45" i="2"/>
  <c r="W233" i="2"/>
  <c r="W211" i="2"/>
  <c r="X23" i="2" s="1"/>
  <c r="W236" i="2"/>
  <c r="X48" i="2" s="1"/>
  <c r="W223" i="2"/>
  <c r="W240" i="2"/>
  <c r="X52" i="2" s="1"/>
  <c r="X24" i="2"/>
  <c r="W212" i="2"/>
  <c r="W234" i="2"/>
  <c r="X46" i="2" s="1"/>
  <c r="X128" i="2"/>
  <c r="AB148" i="2"/>
  <c r="V159" i="2"/>
  <c r="Y128" i="2"/>
  <c r="AA148" i="2"/>
  <c r="W159" i="2"/>
  <c r="Z128" i="2"/>
  <c r="Z148" i="2"/>
  <c r="X159" i="2"/>
  <c r="AA128" i="2"/>
  <c r="Y148" i="2"/>
  <c r="Y159" i="2"/>
  <c r="AB128" i="2"/>
  <c r="X148" i="2"/>
  <c r="Z159" i="2"/>
  <c r="V128" i="2"/>
  <c r="W148" i="2"/>
  <c r="AA159" i="2"/>
  <c r="V148" i="2"/>
  <c r="AB159" i="2"/>
  <c r="U89" i="2"/>
  <c r="AB89" i="2"/>
  <c r="V91" i="2"/>
  <c r="W91" i="2"/>
  <c r="W101" i="2"/>
  <c r="AA89" i="2"/>
  <c r="X91" i="2"/>
  <c r="Y101" i="2"/>
  <c r="Z89" i="2"/>
  <c r="Y89" i="2"/>
  <c r="Z91" i="2"/>
  <c r="AA101" i="2"/>
  <c r="X89" i="2"/>
  <c r="AA91" i="2"/>
  <c r="AB101" i="2"/>
  <c r="U91" i="2"/>
  <c r="X101" i="2"/>
  <c r="Y91" i="2"/>
  <c r="W89" i="2"/>
  <c r="AB91" i="2"/>
  <c r="U101" i="2"/>
  <c r="Z101" i="2"/>
  <c r="V89" i="2"/>
  <c r="V101" i="2"/>
  <c r="U32" i="2"/>
  <c r="U30" i="2" s="1"/>
  <c r="W3" i="2"/>
  <c r="X3" i="2"/>
  <c r="R97" i="2"/>
  <c r="R94" i="2"/>
  <c r="R96" i="2"/>
  <c r="R93" i="2"/>
  <c r="R95" i="2"/>
  <c r="R155" i="2"/>
  <c r="R156" i="2"/>
  <c r="R154" i="2"/>
  <c r="R153" i="2"/>
  <c r="R152" i="2"/>
  <c r="V37" i="5"/>
  <c r="V42" i="5"/>
  <c r="Z42" i="5"/>
  <c r="X42" i="5"/>
  <c r="W42" i="5"/>
  <c r="AB42" i="5"/>
  <c r="AA42" i="5"/>
  <c r="Y42" i="5"/>
  <c r="R42" i="5" s="1"/>
  <c r="W37" i="5"/>
  <c r="Z37" i="5"/>
  <c r="AA37" i="5"/>
  <c r="AB37" i="5"/>
  <c r="X37" i="5"/>
  <c r="Y37" i="5"/>
  <c r="R37" i="5" s="1"/>
  <c r="R44" i="5"/>
  <c r="R54" i="5"/>
  <c r="R49" i="5"/>
  <c r="AB32" i="5"/>
  <c r="AA32" i="5"/>
  <c r="X32" i="5"/>
  <c r="Z32" i="5"/>
  <c r="W32" i="5"/>
  <c r="Y32" i="5"/>
  <c r="R78" i="2"/>
  <c r="R76" i="2"/>
  <c r="R77" i="2"/>
  <c r="R163" i="2"/>
  <c r="R162" i="2"/>
  <c r="R161" i="2"/>
  <c r="R167" i="2"/>
  <c r="R165" i="2"/>
  <c r="R166" i="2"/>
  <c r="R91" i="2"/>
  <c r="R159" i="2"/>
  <c r="R148" i="2"/>
  <c r="R101" i="2"/>
  <c r="R128" i="2"/>
  <c r="R89" i="2"/>
  <c r="V75" i="2" l="1"/>
  <c r="Z75" i="2"/>
  <c r="X164" i="2"/>
  <c r="V164" i="2"/>
  <c r="AB160" i="2"/>
  <c r="AB65" i="5"/>
  <c r="AB70" i="5"/>
  <c r="AB60" i="5"/>
  <c r="AA50" i="5"/>
  <c r="U71" i="2"/>
  <c r="AA55" i="5"/>
  <c r="Z45" i="5"/>
  <c r="U67" i="2"/>
  <c r="V4" i="2"/>
  <c r="V5" i="2" s="1"/>
  <c r="V5" i="5" s="1"/>
  <c r="W235" i="2"/>
  <c r="X47" i="2"/>
  <c r="X25" i="2"/>
  <c r="X213" i="2" s="1"/>
  <c r="W44" i="2"/>
  <c r="W22" i="2"/>
  <c r="X237" i="2"/>
  <c r="Y49" i="2" s="1"/>
  <c r="X236" i="2"/>
  <c r="Y48" i="2" s="1"/>
  <c r="X240" i="2"/>
  <c r="Y52" i="2" s="1"/>
  <c r="X239" i="2"/>
  <c r="Y51" i="2" s="1"/>
  <c r="X234" i="2"/>
  <c r="Y46" i="2" s="1"/>
  <c r="X211" i="2"/>
  <c r="Y23" i="2" s="1"/>
  <c r="Y38" i="2"/>
  <c r="X226" i="2"/>
  <c r="X238" i="2"/>
  <c r="Y50" i="2" s="1"/>
  <c r="Y55" i="2"/>
  <c r="X243" i="2"/>
  <c r="X214" i="2"/>
  <c r="Y26" i="2" s="1"/>
  <c r="X209" i="2"/>
  <c r="Y21" i="2" s="1"/>
  <c r="AA43" i="2"/>
  <c r="Z231" i="2"/>
  <c r="X35" i="2"/>
  <c r="X241" i="2"/>
  <c r="Y53" i="2" s="1"/>
  <c r="X212" i="2"/>
  <c r="Y24" i="2" s="1"/>
  <c r="X216" i="2"/>
  <c r="Y28" i="2" s="1"/>
  <c r="Y45" i="2"/>
  <c r="X233" i="2"/>
  <c r="W37" i="2"/>
  <c r="W225" i="2" s="1"/>
  <c r="Y3" i="2"/>
  <c r="Z3" i="2" s="1"/>
  <c r="R75" i="2"/>
  <c r="R164" i="2"/>
  <c r="R160" i="2"/>
  <c r="Y67" i="5"/>
  <c r="X67" i="5"/>
  <c r="Z67" i="5"/>
  <c r="W67" i="5"/>
  <c r="AA67" i="5"/>
  <c r="AB67" i="5"/>
  <c r="U67" i="5"/>
  <c r="V67" i="5"/>
  <c r="W72" i="5"/>
  <c r="AB72" i="5"/>
  <c r="Y72" i="5"/>
  <c r="Z72" i="5"/>
  <c r="X72" i="5"/>
  <c r="AA72" i="5"/>
  <c r="V72" i="5"/>
  <c r="U72" i="5"/>
  <c r="U62" i="5"/>
  <c r="V57" i="5"/>
  <c r="Y57" i="5"/>
  <c r="AB57" i="5"/>
  <c r="AA57" i="5"/>
  <c r="Z57" i="5"/>
  <c r="W57" i="5"/>
  <c r="X57" i="5"/>
  <c r="Z47" i="5"/>
  <c r="W47" i="5"/>
  <c r="Y47" i="5"/>
  <c r="AA47" i="5"/>
  <c r="AB47" i="5"/>
  <c r="X47" i="5"/>
  <c r="AB52" i="5"/>
  <c r="W52" i="5"/>
  <c r="X52" i="5"/>
  <c r="V52" i="5"/>
  <c r="AA52" i="5"/>
  <c r="Z52" i="5"/>
  <c r="Y52" i="5"/>
  <c r="R57" i="5"/>
  <c r="R47" i="5"/>
  <c r="R52" i="5"/>
  <c r="R67" i="5"/>
  <c r="R72" i="5"/>
  <c r="U171" i="2" l="1"/>
  <c r="V171" i="2"/>
  <c r="AA171" i="2"/>
  <c r="X171" i="2"/>
  <c r="Z171" i="2"/>
  <c r="Y171" i="2"/>
  <c r="AB171" i="2"/>
  <c r="W171" i="2"/>
  <c r="V170" i="2"/>
  <c r="U170" i="2"/>
  <c r="AB170" i="2"/>
  <c r="AA170" i="2"/>
  <c r="W170" i="2"/>
  <c r="Z170" i="2"/>
  <c r="X170" i="2"/>
  <c r="Y170" i="2"/>
  <c r="U169" i="2"/>
  <c r="V104" i="2"/>
  <c r="U104" i="2"/>
  <c r="U106" i="2"/>
  <c r="U105" i="2"/>
  <c r="Y105" i="2"/>
  <c r="Z105" i="2"/>
  <c r="AA105" i="2"/>
  <c r="V105" i="2"/>
  <c r="X105" i="2"/>
  <c r="W105" i="2"/>
  <c r="AB105" i="2"/>
  <c r="X106" i="2"/>
  <c r="W106" i="2"/>
  <c r="Z106" i="2"/>
  <c r="AA106" i="2"/>
  <c r="AB106" i="2"/>
  <c r="Y106" i="2"/>
  <c r="V106" i="2"/>
  <c r="X104" i="2"/>
  <c r="Y104" i="2"/>
  <c r="W104" i="2"/>
  <c r="U201" i="2"/>
  <c r="V13" i="2" s="1"/>
  <c r="Y73" i="2"/>
  <c r="Z73" i="2"/>
  <c r="AA73" i="2"/>
  <c r="V73" i="2"/>
  <c r="X73" i="2"/>
  <c r="W73" i="2"/>
  <c r="AB73" i="2"/>
  <c r="X72" i="2"/>
  <c r="AB72" i="2"/>
  <c r="AA72" i="2"/>
  <c r="Y72" i="2"/>
  <c r="W72" i="2"/>
  <c r="Z72" i="2"/>
  <c r="X74" i="2"/>
  <c r="W74" i="2"/>
  <c r="Z74" i="2"/>
  <c r="AA74" i="2"/>
  <c r="AB74" i="2"/>
  <c r="Y74" i="2"/>
  <c r="V74" i="2"/>
  <c r="V4" i="5"/>
  <c r="W4" i="2"/>
  <c r="W5" i="2" s="1"/>
  <c r="W5" i="5" s="1"/>
  <c r="X235" i="2"/>
  <c r="Y47" i="2" s="1"/>
  <c r="Y25" i="2"/>
  <c r="W232" i="2"/>
  <c r="X44" i="2" s="1"/>
  <c r="X232" i="2" s="1"/>
  <c r="Y44" i="2" s="1"/>
  <c r="W210" i="2"/>
  <c r="X22" i="2" s="1"/>
  <c r="Y234" i="2"/>
  <c r="Z46" i="2" s="1"/>
  <c r="Y214" i="2"/>
  <c r="Z26" i="2" s="1"/>
  <c r="Y240" i="2"/>
  <c r="Z52" i="2" s="1"/>
  <c r="Y239" i="2"/>
  <c r="Z51" i="2" s="1"/>
  <c r="Y236" i="2"/>
  <c r="Z48" i="2" s="1"/>
  <c r="Y211" i="2"/>
  <c r="Z23" i="2" s="1"/>
  <c r="Y216" i="2"/>
  <c r="Z28" i="2" s="1"/>
  <c r="Y212" i="2"/>
  <c r="Z24" i="2" s="1"/>
  <c r="Y238" i="2"/>
  <c r="Z50" i="2" s="1"/>
  <c r="Y241" i="2"/>
  <c r="Z53" i="2" s="1"/>
  <c r="Y209" i="2"/>
  <c r="Z21" i="2" s="1"/>
  <c r="Y237" i="2"/>
  <c r="Z49" i="2" s="1"/>
  <c r="AA231" i="2"/>
  <c r="AB43" i="2" s="1"/>
  <c r="AB231" i="2" s="1"/>
  <c r="Y243" i="2"/>
  <c r="Z55" i="2" s="1"/>
  <c r="Z38" i="2"/>
  <c r="Y226" i="2"/>
  <c r="X223" i="2"/>
  <c r="Y233" i="2"/>
  <c r="Z45" i="2" s="1"/>
  <c r="X37" i="2"/>
  <c r="Y34" i="2"/>
  <c r="Y222" i="2" s="1"/>
  <c r="AA3" i="2"/>
  <c r="AB3" i="2"/>
  <c r="R171" i="2"/>
  <c r="R170" i="2"/>
  <c r="R105" i="2"/>
  <c r="R106" i="2"/>
  <c r="R73" i="2"/>
  <c r="R74" i="2"/>
  <c r="R231" i="2"/>
  <c r="U168" i="2" l="1"/>
  <c r="U103" i="2"/>
  <c r="U111" i="2" s="1"/>
  <c r="Y103" i="2"/>
  <c r="Y111" i="2" s="1"/>
  <c r="V103" i="2"/>
  <c r="X103" i="2"/>
  <c r="X111" i="2" s="1"/>
  <c r="W103" i="2"/>
  <c r="Z71" i="2"/>
  <c r="X71" i="2"/>
  <c r="W71" i="2"/>
  <c r="Y71" i="2"/>
  <c r="AA71" i="2"/>
  <c r="AB71" i="2"/>
  <c r="W4" i="5"/>
  <c r="X4" i="2"/>
  <c r="Y213" i="2"/>
  <c r="Z25" i="2" s="1"/>
  <c r="Z213" i="2" s="1"/>
  <c r="Y235" i="2"/>
  <c r="Z47" i="2" s="1"/>
  <c r="X210" i="2"/>
  <c r="Y22" i="2" s="1"/>
  <c r="Y210" i="2" s="1"/>
  <c r="Z22" i="2" s="1"/>
  <c r="Y37" i="2"/>
  <c r="Z239" i="2"/>
  <c r="AA51" i="2" s="1"/>
  <c r="Z240" i="2"/>
  <c r="AA52" i="2" s="1"/>
  <c r="Z233" i="2"/>
  <c r="AA45" i="2" s="1"/>
  <c r="Z212" i="2"/>
  <c r="AA24" i="2" s="1"/>
  <c r="Z209" i="2"/>
  <c r="AA21" i="2" s="1"/>
  <c r="Z241" i="2"/>
  <c r="AA53" i="2" s="1"/>
  <c r="Z243" i="2"/>
  <c r="AA55" i="2" s="1"/>
  <c r="Z216" i="2"/>
  <c r="AA28" i="2" s="1"/>
  <c r="Z238" i="2"/>
  <c r="AA50" i="2" s="1"/>
  <c r="Z211" i="2"/>
  <c r="AA23" i="2" s="1"/>
  <c r="Z214" i="2"/>
  <c r="AA26" i="2" s="1"/>
  <c r="AA49" i="2"/>
  <c r="Z237" i="2"/>
  <c r="Z236" i="2"/>
  <c r="AA48" i="2" s="1"/>
  <c r="AA46" i="2"/>
  <c r="Z234" i="2"/>
  <c r="AA38" i="2"/>
  <c r="Z226" i="2"/>
  <c r="Y35" i="2"/>
  <c r="U140" i="2" l="1"/>
  <c r="U215" i="2" s="1"/>
  <c r="U190" i="2"/>
  <c r="U176" i="2"/>
  <c r="U183" i="2"/>
  <c r="U185" i="2"/>
  <c r="U205" i="2"/>
  <c r="V17" i="2" s="1"/>
  <c r="U135" i="2"/>
  <c r="X140" i="2"/>
  <c r="Y135" i="2"/>
  <c r="U227" i="2"/>
  <c r="V39" i="2" s="1"/>
  <c r="U197" i="2"/>
  <c r="V9" i="2" s="1"/>
  <c r="Y140" i="2"/>
  <c r="X135" i="2"/>
  <c r="V111" i="2"/>
  <c r="V140" i="2"/>
  <c r="V135" i="2"/>
  <c r="W135" i="2"/>
  <c r="W140" i="2"/>
  <c r="W111" i="2"/>
  <c r="X5" i="2"/>
  <c r="X4" i="5"/>
  <c r="Z235" i="2"/>
  <c r="AA47" i="2"/>
  <c r="AA25" i="2"/>
  <c r="Y232" i="2"/>
  <c r="Z44" i="2" s="1"/>
  <c r="Z232" i="2" s="1"/>
  <c r="AA44" i="2" s="1"/>
  <c r="AA212" i="2"/>
  <c r="AB24" i="2" s="1"/>
  <c r="AB212" i="2" s="1"/>
  <c r="AA243" i="2"/>
  <c r="AB55" i="2" s="1"/>
  <c r="AB243" i="2" s="1"/>
  <c r="AA233" i="2"/>
  <c r="AB45" i="2" s="1"/>
  <c r="AB233" i="2" s="1"/>
  <c r="AA236" i="2"/>
  <c r="AB48" i="2" s="1"/>
  <c r="AB236" i="2" s="1"/>
  <c r="AA216" i="2"/>
  <c r="AB28" i="2" s="1"/>
  <c r="AB216" i="2" s="1"/>
  <c r="AA240" i="2"/>
  <c r="AB52" i="2" s="1"/>
  <c r="AB240" i="2" s="1"/>
  <c r="AA241" i="2"/>
  <c r="AB53" i="2" s="1"/>
  <c r="AB241" i="2" s="1"/>
  <c r="AA211" i="2"/>
  <c r="AB23" i="2" s="1"/>
  <c r="AB211" i="2" s="1"/>
  <c r="Z37" i="2"/>
  <c r="Z225" i="2" s="1"/>
  <c r="AA214" i="2"/>
  <c r="AB26" i="2" s="1"/>
  <c r="AB214" i="2" s="1"/>
  <c r="AA239" i="2"/>
  <c r="AB51" i="2" s="1"/>
  <c r="AB239" i="2" s="1"/>
  <c r="AA238" i="2"/>
  <c r="AB50" i="2" s="1"/>
  <c r="AB238" i="2" s="1"/>
  <c r="AA209" i="2"/>
  <c r="AB21" i="2" s="1"/>
  <c r="AB209" i="2" s="1"/>
  <c r="AA226" i="2"/>
  <c r="AB38" i="2" s="1"/>
  <c r="AB226" i="2" s="1"/>
  <c r="Y223" i="2"/>
  <c r="AA234" i="2"/>
  <c r="AB46" i="2" s="1"/>
  <c r="AB234" i="2" s="1"/>
  <c r="AA237" i="2"/>
  <c r="AB49" i="2" s="1"/>
  <c r="AB237" i="2" s="1"/>
  <c r="Z34" i="2"/>
  <c r="Z222" i="2" s="1"/>
  <c r="R212" i="2"/>
  <c r="R241" i="2"/>
  <c r="R239" i="2"/>
  <c r="R211" i="2"/>
  <c r="R238" i="2"/>
  <c r="R209" i="2"/>
  <c r="R240" i="2"/>
  <c r="R243" i="2"/>
  <c r="R237" i="2"/>
  <c r="R226" i="2"/>
  <c r="R216" i="2"/>
  <c r="R233" i="2"/>
  <c r="R236" i="2"/>
  <c r="R214" i="2"/>
  <c r="R234" i="2"/>
  <c r="U141" i="2" l="1"/>
  <c r="V37" i="2"/>
  <c r="V225" i="2" s="1"/>
  <c r="U191" i="2"/>
  <c r="U224" i="2"/>
  <c r="V27" i="2"/>
  <c r="V8" i="2" s="1"/>
  <c r="U196" i="2"/>
  <c r="V141" i="2"/>
  <c r="Y141" i="2"/>
  <c r="X141" i="2"/>
  <c r="W141" i="2"/>
  <c r="Y4" i="2"/>
  <c r="X5" i="5"/>
  <c r="AA213" i="2"/>
  <c r="AB25" i="2" s="1"/>
  <c r="AA235" i="2"/>
  <c r="AB47" i="2" s="1"/>
  <c r="Z210" i="2"/>
  <c r="AA22" i="2" s="1"/>
  <c r="AA210" i="2" s="1"/>
  <c r="AB22" i="2" s="1"/>
  <c r="AA37" i="2"/>
  <c r="AA225" i="2" s="1"/>
  <c r="Z35" i="2"/>
  <c r="V36" i="2" l="1"/>
  <c r="U221" i="2"/>
  <c r="U220" i="2" s="1"/>
  <c r="U218" i="2" s="1"/>
  <c r="V215" i="2"/>
  <c r="W27" i="2" s="1"/>
  <c r="W215" i="2" s="1"/>
  <c r="X27" i="2" s="1"/>
  <c r="X215" i="2" s="1"/>
  <c r="Y27" i="2" s="1"/>
  <c r="Y215" i="2" s="1"/>
  <c r="Y5" i="2"/>
  <c r="Y4" i="5"/>
  <c r="AB213" i="2"/>
  <c r="AB235" i="2"/>
  <c r="AA232" i="2"/>
  <c r="AB44" i="2" s="1"/>
  <c r="AB232" i="2" s="1"/>
  <c r="AB37" i="2"/>
  <c r="AB225" i="2" s="1"/>
  <c r="Z223" i="2"/>
  <c r="AA34" i="2"/>
  <c r="AA222" i="2" s="1"/>
  <c r="R235" i="2"/>
  <c r="R213" i="2"/>
  <c r="R232" i="2"/>
  <c r="R225" i="2"/>
  <c r="V33" i="2" l="1"/>
  <c r="V32" i="2" s="1"/>
  <c r="V30" i="2" s="1"/>
  <c r="Z4" i="2"/>
  <c r="Y5" i="5"/>
  <c r="AB210" i="2"/>
  <c r="AA35" i="2"/>
  <c r="R210" i="2"/>
  <c r="Z5" i="2" l="1"/>
  <c r="Z4" i="5"/>
  <c r="AA223" i="2"/>
  <c r="Z27" i="2"/>
  <c r="AB34" i="2"/>
  <c r="AB222" i="2" s="1"/>
  <c r="Z5" i="5" l="1"/>
  <c r="AA4" i="2"/>
  <c r="AB35" i="2"/>
  <c r="AB223" i="2" s="1"/>
  <c r="R223" i="2"/>
  <c r="R222" i="2"/>
  <c r="AA5" i="2" l="1"/>
  <c r="AA4" i="5"/>
  <c r="AA5" i="5" l="1"/>
  <c r="AB4" i="2"/>
  <c r="AB5" i="2" l="1"/>
  <c r="AB4" i="5"/>
  <c r="R5" i="2"/>
  <c r="R5" i="5" l="1"/>
  <c r="AB5" i="5"/>
  <c r="U20" i="2"/>
  <c r="U208" i="2" s="1"/>
  <c r="U19" i="2"/>
  <c r="U207" i="2" s="1"/>
  <c r="U18" i="2"/>
  <c r="U206" i="2" s="1"/>
  <c r="U16" i="2"/>
  <c r="U15" i="2"/>
  <c r="U14" i="2"/>
  <c r="U12" i="2"/>
  <c r="U11" i="2"/>
  <c r="U199" i="2" s="1"/>
  <c r="U10" i="2"/>
  <c r="U42" i="2"/>
  <c r="U230" i="2" s="1"/>
  <c r="V42" i="2" s="1"/>
  <c r="U41" i="2"/>
  <c r="U229" i="2" s="1"/>
  <c r="V41" i="2" s="1"/>
  <c r="U40" i="2"/>
  <c r="U228" i="2" s="1"/>
  <c r="V40" i="2" s="1"/>
  <c r="U198" i="2" l="1"/>
  <c r="V10" i="2" s="1"/>
  <c r="U202" i="2"/>
  <c r="V14" i="2" s="1"/>
  <c r="U203" i="2"/>
  <c r="V15" i="2" s="1"/>
  <c r="U204" i="2"/>
  <c r="V16" i="2" s="1"/>
  <c r="U200" i="2"/>
  <c r="V12" i="2" s="1"/>
  <c r="V230" i="2" s="1"/>
  <c r="W42" i="2" s="1"/>
  <c r="V19" i="2"/>
  <c r="V174" i="2" s="1"/>
  <c r="V18" i="2"/>
  <c r="V173" i="2" s="1"/>
  <c r="V20" i="2"/>
  <c r="V175" i="2" s="1"/>
  <c r="V11" i="2"/>
  <c r="V207" i="2" l="1"/>
  <c r="W19" i="2" s="1"/>
  <c r="W174" i="2" s="1"/>
  <c r="V208" i="2"/>
  <c r="W20" i="2" s="1"/>
  <c r="W175" i="2" s="1"/>
  <c r="V204" i="2"/>
  <c r="W16" i="2" s="1"/>
  <c r="V200" i="2"/>
  <c r="W12" i="2" s="1"/>
  <c r="W208" i="2" l="1"/>
  <c r="X20" i="2" s="1"/>
  <c r="X175" i="2" s="1"/>
  <c r="V172" i="2"/>
  <c r="W207" i="2"/>
  <c r="X19" i="2" s="1"/>
  <c r="X174" i="2" s="1"/>
  <c r="V242" i="2" l="1"/>
  <c r="W54" i="2" s="1"/>
  <c r="X208" i="2"/>
  <c r="Y20" i="2" s="1"/>
  <c r="Y175" i="2" s="1"/>
  <c r="X207" i="2"/>
  <c r="Y19" i="2" s="1"/>
  <c r="Y174" i="2" s="1"/>
  <c r="Y208" i="2" l="1"/>
  <c r="Z20" i="2" s="1"/>
  <c r="Z175" i="2" s="1"/>
  <c r="Y207" i="2"/>
  <c r="Z19" i="2" s="1"/>
  <c r="Z174" i="2" s="1"/>
  <c r="Z208" i="2" l="1"/>
  <c r="AA20" i="2" s="1"/>
  <c r="AA175" i="2" s="1"/>
  <c r="Z207" i="2"/>
  <c r="AA19" i="2" s="1"/>
  <c r="AA174" i="2" s="1"/>
  <c r="AA207" i="2" l="1"/>
  <c r="AB19" i="2" s="1"/>
  <c r="AB174" i="2" s="1"/>
  <c r="AA208" i="2"/>
  <c r="AB20" i="2" s="1"/>
  <c r="AB175" i="2" s="1"/>
  <c r="AB208" i="2" l="1"/>
  <c r="AB207" i="2"/>
  <c r="R175" i="2"/>
  <c r="R207" i="2"/>
  <c r="R208" i="2"/>
  <c r="R174" i="2"/>
  <c r="AB22" i="5"/>
  <c r="AA22" i="5"/>
  <c r="Z22" i="5"/>
  <c r="Y22" i="5"/>
  <c r="X22" i="5"/>
  <c r="W22" i="5"/>
  <c r="V22" i="5"/>
  <c r="Y17" i="5"/>
  <c r="AB17" i="5"/>
  <c r="Z17" i="5"/>
  <c r="AA17" i="5"/>
  <c r="X17" i="5"/>
  <c r="V17" i="5"/>
  <c r="W17" i="5"/>
  <c r="Y69" i="2" l="1"/>
  <c r="W68" i="2"/>
  <c r="V68" i="2"/>
  <c r="V69" i="2"/>
  <c r="X68" i="2"/>
  <c r="Z68" i="2"/>
  <c r="Y68" i="2"/>
  <c r="X69" i="2"/>
  <c r="Z69" i="2"/>
  <c r="AA68" i="2"/>
  <c r="AB69" i="2"/>
  <c r="AA69" i="2"/>
  <c r="W69" i="2"/>
  <c r="AB68" i="2"/>
  <c r="R17" i="5"/>
  <c r="R22" i="5"/>
  <c r="V67" i="2" l="1"/>
  <c r="AA67" i="2"/>
  <c r="Y67" i="2"/>
  <c r="AB67" i="2"/>
  <c r="R69" i="2"/>
  <c r="R68" i="2"/>
  <c r="V197" i="2" l="1"/>
  <c r="W9" i="2" s="1"/>
  <c r="V227" i="2"/>
  <c r="W39" i="2" s="1"/>
  <c r="V228" i="2" l="1"/>
  <c r="W40" i="2" s="1"/>
  <c r="V229" i="2"/>
  <c r="W41" i="2" s="1"/>
  <c r="V198" i="2"/>
  <c r="W10" i="2" s="1"/>
  <c r="V203" i="2"/>
  <c r="W15" i="2" s="1"/>
  <c r="W203" i="2" s="1"/>
  <c r="X15" i="2" s="1"/>
  <c r="X203" i="2" s="1"/>
  <c r="Y15" i="2" s="1"/>
  <c r="Y203" i="2" s="1"/>
  <c r="Z15" i="2" s="1"/>
  <c r="Z203" i="2" s="1"/>
  <c r="AA15" i="2" s="1"/>
  <c r="AA203" i="2" s="1"/>
  <c r="AB15" i="2" s="1"/>
  <c r="AB203" i="2" s="1"/>
  <c r="V199" i="2"/>
  <c r="W11" i="2" s="1"/>
  <c r="R203" i="2"/>
  <c r="W198" i="2" l="1"/>
  <c r="X10" i="2" s="1"/>
  <c r="W229" i="2"/>
  <c r="X41" i="2" s="1"/>
  <c r="W199" i="2"/>
  <c r="X11" i="2" s="1"/>
  <c r="W228" i="2"/>
  <c r="X40" i="2" s="1"/>
  <c r="X228" i="2" l="1"/>
  <c r="Y40" i="2" s="1"/>
  <c r="X229" i="2"/>
  <c r="Y41" i="2" s="1"/>
  <c r="X199" i="2"/>
  <c r="Y11" i="2" s="1"/>
  <c r="X198" i="2"/>
  <c r="Y10" i="2" s="1"/>
  <c r="Y198" i="2" l="1"/>
  <c r="Z10" i="2" s="1"/>
  <c r="Y229" i="2"/>
  <c r="Z41" i="2" s="1"/>
  <c r="Y199" i="2"/>
  <c r="Z11" i="2" s="1"/>
  <c r="Y228" i="2"/>
  <c r="Z40" i="2" s="1"/>
  <c r="Z199" i="2" l="1"/>
  <c r="AA11" i="2" s="1"/>
  <c r="Z229" i="2"/>
  <c r="AA41" i="2" s="1"/>
  <c r="AA199" i="2" l="1"/>
  <c r="AB11" i="2" s="1"/>
  <c r="AA229" i="2"/>
  <c r="AB41" i="2" s="1"/>
  <c r="AB229" i="2" l="1"/>
  <c r="AB199" i="2"/>
  <c r="R229" i="2"/>
  <c r="R199" i="2"/>
  <c r="R59" i="5"/>
  <c r="W60" i="5"/>
  <c r="AA104" i="2" l="1"/>
  <c r="AA103" i="2" s="1"/>
  <c r="AB104" i="2"/>
  <c r="AB103" i="2" s="1"/>
  <c r="Z104" i="2"/>
  <c r="R104" i="2"/>
  <c r="Z228" i="2" l="1"/>
  <c r="AA40" i="2" s="1"/>
  <c r="Z198" i="2"/>
  <c r="AA10" i="2" s="1"/>
  <c r="Z103" i="2"/>
  <c r="AB111" i="2"/>
  <c r="AB135" i="2"/>
  <c r="AB140" i="2"/>
  <c r="AA135" i="2"/>
  <c r="AA111" i="2"/>
  <c r="AA140" i="2"/>
  <c r="R103" i="2"/>
  <c r="AA198" i="2" l="1"/>
  <c r="AB10" i="2" s="1"/>
  <c r="Z135" i="2"/>
  <c r="Z111" i="2"/>
  <c r="Z140" i="2"/>
  <c r="AA228" i="2"/>
  <c r="AB40" i="2" s="1"/>
  <c r="R135" i="2"/>
  <c r="R111" i="2"/>
  <c r="R140" i="2"/>
  <c r="AB228" i="2" l="1"/>
  <c r="AA141" i="2"/>
  <c r="Z141" i="2"/>
  <c r="AB141" i="2"/>
  <c r="Z215" i="2"/>
  <c r="AA27" i="2" s="1"/>
  <c r="AA215" i="2" s="1"/>
  <c r="AB27" i="2" s="1"/>
  <c r="AB215" i="2" s="1"/>
  <c r="AB198" i="2"/>
  <c r="R228" i="2"/>
  <c r="R141" i="2"/>
  <c r="R198" i="2"/>
  <c r="R215" i="2"/>
  <c r="V32" i="5"/>
  <c r="X27" i="5"/>
  <c r="W27" i="5"/>
  <c r="Z27" i="5"/>
  <c r="R27" i="5"/>
  <c r="Z70" i="2"/>
  <c r="V72" i="2"/>
  <c r="X70" i="2"/>
  <c r="W70" i="2"/>
  <c r="R70" i="2"/>
  <c r="R32" i="5"/>
  <c r="Y62" i="5"/>
  <c r="X62" i="5"/>
  <c r="W62" i="5"/>
  <c r="V62" i="5"/>
  <c r="V169" i="2"/>
  <c r="W169" i="2"/>
  <c r="X169" i="2"/>
  <c r="Y169" i="2"/>
  <c r="R72" i="2"/>
  <c r="V168" i="2"/>
  <c r="X168" i="2"/>
  <c r="Y168" i="2"/>
  <c r="W168" i="2"/>
  <c r="V71" i="2"/>
  <c r="R71" i="2"/>
  <c r="V205" i="2"/>
  <c r="W17" i="2" s="1"/>
  <c r="W205" i="2" s="1"/>
  <c r="X17" i="2" s="1"/>
  <c r="X205" i="2" s="1"/>
  <c r="Y17" i="2" s="1"/>
  <c r="Y205" i="2" s="1"/>
  <c r="Z17" i="2" s="1"/>
  <c r="V206" i="2"/>
  <c r="W18" i="2" s="1"/>
  <c r="W230" i="2"/>
  <c r="X42" i="2" s="1"/>
  <c r="W200" i="2"/>
  <c r="X12" i="2" s="1"/>
  <c r="W204" i="2"/>
  <c r="X16" i="2" s="1"/>
  <c r="X204" i="2" s="1"/>
  <c r="Y16" i="2" s="1"/>
  <c r="Y204" i="2" s="1"/>
  <c r="Z16" i="2" s="1"/>
  <c r="Z204" i="2" s="1"/>
  <c r="AA16" i="2" s="1"/>
  <c r="AA204" i="2" s="1"/>
  <c r="AB16" i="2" s="1"/>
  <c r="AB204" i="2" s="1"/>
  <c r="V176" i="2"/>
  <c r="V183" i="2"/>
  <c r="V190" i="2"/>
  <c r="V191" i="2" s="1"/>
  <c r="V185" i="2"/>
  <c r="R204" i="2"/>
  <c r="X200" i="2" l="1"/>
  <c r="Y12" i="2" s="1"/>
  <c r="X230" i="2"/>
  <c r="Y42" i="2" s="1"/>
  <c r="W206" i="2"/>
  <c r="X18" i="2" s="1"/>
  <c r="W173" i="2"/>
  <c r="W172" i="2" s="1"/>
  <c r="V224" i="2"/>
  <c r="Y230" i="2" l="1"/>
  <c r="Z42" i="2" s="1"/>
  <c r="W242" i="2"/>
  <c r="X54" i="2" s="1"/>
  <c r="W190" i="2"/>
  <c r="W185" i="2"/>
  <c r="W183" i="2"/>
  <c r="W176" i="2"/>
  <c r="W36" i="2"/>
  <c r="V221" i="2"/>
  <c r="X206" i="2"/>
  <c r="Y18" i="2" s="1"/>
  <c r="X173" i="2"/>
  <c r="X172" i="2" s="1"/>
  <c r="Y200" i="2"/>
  <c r="Z12" i="2" s="1"/>
  <c r="W67" i="2"/>
  <c r="X67" i="2"/>
  <c r="Z67" i="2"/>
  <c r="R67" i="2"/>
  <c r="Z200" i="2" l="1"/>
  <c r="AA12" i="2" s="1"/>
  <c r="Z230" i="2"/>
  <c r="AA42" i="2" s="1"/>
  <c r="W33" i="2"/>
  <c r="W32" i="2" s="1"/>
  <c r="W224" i="2"/>
  <c r="W191" i="2"/>
  <c r="X190" i="2"/>
  <c r="X183" i="2"/>
  <c r="X176" i="2"/>
  <c r="X185" i="2"/>
  <c r="Y206" i="2"/>
  <c r="Z18" i="2" s="1"/>
  <c r="Z173" i="2" s="1"/>
  <c r="Z172" i="2" s="1"/>
  <c r="Y173" i="2"/>
  <c r="Y172" i="2" s="1"/>
  <c r="X242" i="2"/>
  <c r="Y54" i="2" s="1"/>
  <c r="V201" i="2"/>
  <c r="W13" i="2" s="1"/>
  <c r="W201" i="2" s="1"/>
  <c r="X13" i="2" s="1"/>
  <c r="X201" i="2" s="1"/>
  <c r="Y13" i="2" s="1"/>
  <c r="Y201" i="2" s="1"/>
  <c r="Z13" i="2" s="1"/>
  <c r="Z201" i="2" s="1"/>
  <c r="AA13" i="2" s="1"/>
  <c r="AA201" i="2" s="1"/>
  <c r="AB13" i="2" s="1"/>
  <c r="AB201" i="2" s="1"/>
  <c r="V220" i="2"/>
  <c r="W227" i="2"/>
  <c r="X39" i="2" s="1"/>
  <c r="V196" i="2"/>
  <c r="W197" i="2"/>
  <c r="X9" i="2" s="1"/>
  <c r="R201" i="2"/>
  <c r="AA230" i="2" l="1"/>
  <c r="AB42" i="2" s="1"/>
  <c r="Y242" i="2"/>
  <c r="Z54" i="2" s="1"/>
  <c r="Z242" i="2" s="1"/>
  <c r="AA54" i="2" s="1"/>
  <c r="AA200" i="2"/>
  <c r="AB12" i="2" s="1"/>
  <c r="Y183" i="2"/>
  <c r="Y176" i="2"/>
  <c r="Y185" i="2"/>
  <c r="Y190" i="2"/>
  <c r="Y191" i="2" s="1"/>
  <c r="X191" i="2"/>
  <c r="X36" i="2"/>
  <c r="W221" i="2"/>
  <c r="W220" i="2" s="1"/>
  <c r="W8" i="2"/>
  <c r="W30" i="2" s="1"/>
  <c r="V218" i="2"/>
  <c r="W196" i="2"/>
  <c r="X197" i="2"/>
  <c r="Y9" i="2" s="1"/>
  <c r="X8" i="2"/>
  <c r="X227" i="2"/>
  <c r="Y39" i="2" s="1"/>
  <c r="V202" i="2"/>
  <c r="W14" i="2" s="1"/>
  <c r="W202" i="2" s="1"/>
  <c r="X14" i="2" s="1"/>
  <c r="X202" i="2" s="1"/>
  <c r="Y14" i="2" s="1"/>
  <c r="Y202" i="2" s="1"/>
  <c r="Z14" i="2" s="1"/>
  <c r="Z202" i="2" s="1"/>
  <c r="AA14" i="2" s="1"/>
  <c r="AA202" i="2" s="1"/>
  <c r="AB14" i="2" s="1"/>
  <c r="AB202" i="2" s="1"/>
  <c r="R202" i="2"/>
  <c r="AB200" i="2" l="1"/>
  <c r="AB230" i="2"/>
  <c r="Y227" i="2"/>
  <c r="Z39" i="2" s="1"/>
  <c r="X196" i="2"/>
  <c r="Y197" i="2"/>
  <c r="Z9" i="2" s="1"/>
  <c r="Z8" i="2" s="1"/>
  <c r="Y8" i="2"/>
  <c r="W218" i="2"/>
  <c r="X224" i="2"/>
  <c r="X33" i="2"/>
  <c r="X32" i="2" s="1"/>
  <c r="X30" i="2" s="1"/>
  <c r="R200" i="2"/>
  <c r="R230" i="2"/>
  <c r="AB62" i="5"/>
  <c r="AA62" i="5"/>
  <c r="Z62" i="5"/>
  <c r="R62" i="5"/>
  <c r="Y196" i="2" l="1"/>
  <c r="Y36" i="2"/>
  <c r="X221" i="2"/>
  <c r="X220" i="2" s="1"/>
  <c r="X218" i="2" s="1"/>
  <c r="Z169" i="2"/>
  <c r="AA169" i="2"/>
  <c r="AA168" i="2" s="1"/>
  <c r="AB169" i="2"/>
  <c r="AB168" i="2" s="1"/>
  <c r="R169" i="2"/>
  <c r="Y33" i="2" l="1"/>
  <c r="Y32" i="2" s="1"/>
  <c r="Y30" i="2" s="1"/>
  <c r="Y224" i="2"/>
  <c r="Z168" i="2"/>
  <c r="Z206" i="2"/>
  <c r="AA18" i="2" s="1"/>
  <c r="AA173" i="2" s="1"/>
  <c r="R168" i="2"/>
  <c r="Y221" i="2" l="1"/>
  <c r="Y220" i="2" s="1"/>
  <c r="Y218" i="2" s="1"/>
  <c r="Z36" i="2"/>
  <c r="Z33" i="2" s="1"/>
  <c r="Z32" i="2" s="1"/>
  <c r="Z30" i="2" s="1"/>
  <c r="AA206" i="2"/>
  <c r="AB18" i="2" s="1"/>
  <c r="AB173" i="2" s="1"/>
  <c r="Z190" i="2"/>
  <c r="Z176" i="2"/>
  <c r="Z227" i="2"/>
  <c r="Z197" i="2"/>
  <c r="Z183" i="2"/>
  <c r="Z185" i="2"/>
  <c r="Z205" i="2"/>
  <c r="AA17" i="2" s="1"/>
  <c r="AA205" i="2" s="1"/>
  <c r="AB17" i="2" s="1"/>
  <c r="AB205" i="2" s="1"/>
  <c r="R205" i="2"/>
  <c r="AB206" i="2"/>
  <c r="AA9" i="2"/>
  <c r="Z224" i="2"/>
  <c r="AA172" i="2"/>
  <c r="AA39" i="2"/>
  <c r="Z191" i="2"/>
  <c r="Z196" i="2"/>
  <c r="R206" i="2"/>
  <c r="R173" i="2"/>
  <c r="AA242" i="2"/>
  <c r="AB54" i="2" s="1"/>
  <c r="AA8" i="2"/>
  <c r="AA197" i="2"/>
  <c r="AA227" i="2"/>
  <c r="AB172" i="2"/>
  <c r="Z221" i="2"/>
  <c r="Z220" i="2" s="1"/>
  <c r="Z218" i="2" s="1"/>
  <c r="AA185" i="2"/>
  <c r="AA183" i="2"/>
  <c r="AA176" i="2"/>
  <c r="AA190" i="2"/>
  <c r="AA36" i="2"/>
  <c r="R172" i="2"/>
  <c r="AB190" i="2"/>
  <c r="AB191" i="2" s="1"/>
  <c r="AB185" i="2"/>
  <c r="AB176" i="2"/>
  <c r="AB183" i="2"/>
  <c r="AA191" i="2"/>
  <c r="AB242" i="2"/>
  <c r="AA224" i="2"/>
  <c r="AA33" i="2"/>
  <c r="AA32" i="2" s="1"/>
  <c r="AA30" i="2" s="1"/>
  <c r="AB39" i="2"/>
  <c r="AB9" i="2"/>
  <c r="AA196" i="2"/>
  <c r="R190" i="2"/>
  <c r="R185" i="2"/>
  <c r="R176" i="2"/>
  <c r="R183" i="2"/>
  <c r="R242" i="2"/>
  <c r="R191" i="2"/>
  <c r="AB36" i="2"/>
  <c r="AA221" i="2"/>
  <c r="AA220" i="2" s="1"/>
  <c r="AA218" i="2" s="1"/>
  <c r="AB227" i="2"/>
  <c r="AB8" i="2"/>
  <c r="AB197" i="2"/>
  <c r="R227" i="2"/>
  <c r="R197" i="2"/>
  <c r="AB224" i="2"/>
  <c r="AB33" i="2"/>
  <c r="AB32" i="2" s="1"/>
  <c r="AB30" i="2" s="1"/>
  <c r="R196" i="2"/>
  <c r="AB196" i="2"/>
  <c r="R224" i="2"/>
  <c r="R30" i="2"/>
  <c r="R221" i="2"/>
  <c r="R220" i="2" s="1"/>
  <c r="AB221" i="2"/>
  <c r="AB220" i="2" s="1"/>
  <c r="AB218" i="2" s="1"/>
  <c r="R218" i="2"/>
</calcChain>
</file>

<file path=xl/sharedStrings.xml><?xml version="1.0" encoding="utf-8"?>
<sst xmlns="http://schemas.openxmlformats.org/spreadsheetml/2006/main" count="211" uniqueCount="174">
  <si>
    <t>Принципиальный процесс построения финмодели УУ</t>
  </si>
  <si>
    <t>1.</t>
  </si>
  <si>
    <t>Построение укрупненной базовой системы отчетности</t>
  </si>
  <si>
    <t>Базовая структура статей учета</t>
  </si>
  <si>
    <t>итого</t>
  </si>
  <si>
    <t>Статьи учета/показатели</t>
  </si>
  <si>
    <t>Баланс на начало периода</t>
  </si>
  <si>
    <t>АКТИВЫ</t>
  </si>
  <si>
    <t>Авансы выданные по капзатратам</t>
  </si>
  <si>
    <t>Незавершенные капзатраты</t>
  </si>
  <si>
    <t>ОС</t>
  </si>
  <si>
    <t>Незавершенные процессы воронки-продаж</t>
  </si>
  <si>
    <t>Авансы выданные</t>
  </si>
  <si>
    <t>Запасы и незавершенное производство</t>
  </si>
  <si>
    <t>ГП</t>
  </si>
  <si>
    <t>Дебиторская задолженность</t>
  </si>
  <si>
    <t>Финвложения</t>
  </si>
  <si>
    <t>ДС</t>
  </si>
  <si>
    <t>Прочие активы</t>
  </si>
  <si>
    <t>Баланс-контроль</t>
  </si>
  <si>
    <t>ПАССИВЫ</t>
  </si>
  <si>
    <t>Собственный капитал</t>
  </si>
  <si>
    <t>УК</t>
  </si>
  <si>
    <t>ИК</t>
  </si>
  <si>
    <t>Нераспределенная прибыль</t>
  </si>
  <si>
    <t>Резервы</t>
  </si>
  <si>
    <t>Гранты, субсидии и т.п.</t>
  </si>
  <si>
    <t>КЗ по капзатратам</t>
  </si>
  <si>
    <t>КЗ по воронке продаж</t>
  </si>
  <si>
    <t>КЗ по поставщикам и подрядчикам</t>
  </si>
  <si>
    <t>КЗ перед персоналом по ФОТ</t>
  </si>
  <si>
    <t>КЗ перед бюджетом по соцсборам</t>
  </si>
  <si>
    <t>Авансы полученные</t>
  </si>
  <si>
    <t>Займы</t>
  </si>
  <si>
    <t>Проценты по займам</t>
  </si>
  <si>
    <t>Кредиты</t>
  </si>
  <si>
    <t>Проценты по кредитам</t>
  </si>
  <si>
    <t>Проценты по векселям, облигациям и т.п.</t>
  </si>
  <si>
    <t>Векселя, облигации и т.п.</t>
  </si>
  <si>
    <t>Задолженность по налогам</t>
  </si>
  <si>
    <t>Прочие обязательства</t>
  </si>
  <si>
    <t>Баланс на конец периода</t>
  </si>
  <si>
    <t>2.</t>
  </si>
  <si>
    <t>Баланс на начало периода - единая формула - через ссылку на баланс на конец периода</t>
  </si>
  <si>
    <t>3.</t>
  </si>
  <si>
    <t xml:space="preserve">Баланс на конец периода  - "единая формула" - двойная запись через баланс на начало периода (+) обороты входящие для статьи (-) обороты выбытия и перемещения из статьи </t>
  </si>
  <si>
    <t>Отчет о поступлениях и перемещениях капитала и нефинансовых активов</t>
  </si>
  <si>
    <t>Объявление УК</t>
  </si>
  <si>
    <t>Изъятие УК</t>
  </si>
  <si>
    <t>Перераспределение УК Инвесторам</t>
  </si>
  <si>
    <t>Списание УК на нераспределенную прибыль</t>
  </si>
  <si>
    <t>Привлечение инвестиций</t>
  </si>
  <si>
    <t>Изъятие ИК</t>
  </si>
  <si>
    <t>Списание ИК на нераспределенную прибыль</t>
  </si>
  <si>
    <t>Поступление грантов, субсидий и т.п.</t>
  </si>
  <si>
    <t>Капзатраты</t>
  </si>
  <si>
    <t>Ввод в эксплуатацию ОС</t>
  </si>
  <si>
    <t>Приобретение ОС</t>
  </si>
  <si>
    <t>Поступления затрат воронки продаж</t>
  </si>
  <si>
    <t>Поступления себестоимостных затрат бизнес-процессов</t>
  </si>
  <si>
    <t>Закупка ГП</t>
  </si>
  <si>
    <t>Выпуск ГП</t>
  </si>
  <si>
    <t>Отчет ДДС</t>
  </si>
  <si>
    <t>Поступления от продаж</t>
  </si>
  <si>
    <t>Оплата себестоимостных закупок и затрат</t>
  </si>
  <si>
    <t>Финпоток от продаж</t>
  </si>
  <si>
    <t>Оплата расходов воронки продаж</t>
  </si>
  <si>
    <t>Финпоток по коммерческой деятельности</t>
  </si>
  <si>
    <t>Оплата расходов на содержание бизнеса</t>
  </si>
  <si>
    <t>Выплата з/п</t>
  </si>
  <si>
    <t>Оплата соцсборов</t>
  </si>
  <si>
    <t>Оплата операционного НДС</t>
  </si>
  <si>
    <t>Финпоток по операционной деятельности</t>
  </si>
  <si>
    <t>Оплата капзатрат</t>
  </si>
  <si>
    <t>Оплата приобретения ОС</t>
  </si>
  <si>
    <t>Поступления от продажи внеоборотных активов</t>
  </si>
  <si>
    <t>Оплата налогов на внеоборотные активы</t>
  </si>
  <si>
    <t>Поступления возмещенного НДС по внеоборотным активам</t>
  </si>
  <si>
    <t>Финпоток по инвестиционной деятельности</t>
  </si>
  <si>
    <t>Поступления по финансовой деятельности</t>
  </si>
  <si>
    <t>Вложения в капитал от Учредителей</t>
  </si>
  <si>
    <t>Поступления инвестиций</t>
  </si>
  <si>
    <t>Поступления грантов, субсидий и т.п.</t>
  </si>
  <si>
    <t>Поступления займов</t>
  </si>
  <si>
    <t>Поступления кредитов</t>
  </si>
  <si>
    <t>Воврат финвложений</t>
  </si>
  <si>
    <t>Поступления от размещения векселей, облигаций и т.п.</t>
  </si>
  <si>
    <t>Списания по финансовой деятельности</t>
  </si>
  <si>
    <t>Выплаты дивидендов Учредителям</t>
  </si>
  <si>
    <t>Выплаты дивидендов Инвесторам</t>
  </si>
  <si>
    <t>Размещение резервов</t>
  </si>
  <si>
    <t>Возврат займов</t>
  </si>
  <si>
    <t>Возврат кредитов</t>
  </si>
  <si>
    <t>Погашение векселей, облигаций и т.п.</t>
  </si>
  <si>
    <t>Финпоток по финансовой деятельности</t>
  </si>
  <si>
    <t>Поступление процентов от финвложений</t>
  </si>
  <si>
    <t>Оплата процентов</t>
  </si>
  <si>
    <t>Оплата %% по займам</t>
  </si>
  <si>
    <t>Оплата %% по кредитам</t>
  </si>
  <si>
    <t>Оплата %% по векселям, облигациям и т.п.</t>
  </si>
  <si>
    <t>Оплата налога на прибыль</t>
  </si>
  <si>
    <t>Финпоток по основной деятельности</t>
  </si>
  <si>
    <t>Кассовый разрыв FCF(-)</t>
  </si>
  <si>
    <t>Свободный положительный финпоток FCF(+)</t>
  </si>
  <si>
    <t>Свободный финпоток FCF</t>
  </si>
  <si>
    <t>IRR</t>
  </si>
  <si>
    <t>Итоговый денежный поток</t>
  </si>
  <si>
    <t>Итоговый денежный поток накопительно</t>
  </si>
  <si>
    <t>Отчет о прибылях и убытках (P&amp;L)</t>
  </si>
  <si>
    <t>Выручка</t>
  </si>
  <si>
    <t>Себестоимость</t>
  </si>
  <si>
    <t>Валовая прибыль</t>
  </si>
  <si>
    <t>Прямые расходы (воронка продаж)</t>
  </si>
  <si>
    <t>Маржинальная прибыль</t>
  </si>
  <si>
    <t>Операционные расходы на содержание бизнеса</t>
  </si>
  <si>
    <t>Начисление зарплаты</t>
  </si>
  <si>
    <t>Начисление соцсборов</t>
  </si>
  <si>
    <t>Операционная прибыль (EBITDA)</t>
  </si>
  <si>
    <t>Выбытия ОС</t>
  </si>
  <si>
    <t>Выбытия незавершенных капзатрат</t>
  </si>
  <si>
    <t>Амортизация ОС</t>
  </si>
  <si>
    <t>Налоги на внеоборотные активы</t>
  </si>
  <si>
    <t>Прибыль до процентов и налога на прибыль (EBIT)</t>
  </si>
  <si>
    <t>Прочие доходы</t>
  </si>
  <si>
    <t>Начисление %% от финвложений</t>
  </si>
  <si>
    <t>Начисление процентов</t>
  </si>
  <si>
    <t>Начисление %% по займам</t>
  </si>
  <si>
    <t>Начисление %% по кредитам</t>
  </si>
  <si>
    <t>Начисление %% по векселям, облигациям и т.п.</t>
  </si>
  <si>
    <t>Прибыль до налога на прибыль (EBT)</t>
  </si>
  <si>
    <t>Налог на прибыль</t>
  </si>
  <si>
    <t>Чистая прибыль</t>
  </si>
  <si>
    <t>Начисление дивидендов</t>
  </si>
  <si>
    <t>Начисление дивидендов Учредителям</t>
  </si>
  <si>
    <t>Начисление дивидендов Инвесторам</t>
  </si>
  <si>
    <t>Создание резервов</t>
  </si>
  <si>
    <t>Нераспределенная прибыль накопительно</t>
  </si>
  <si>
    <t>4.</t>
  </si>
  <si>
    <t>Промежуточные итоги в ДДС и PL необходимо настроить одной формулой через "метки"</t>
  </si>
  <si>
    <t>Справочники</t>
  </si>
  <si>
    <t>Метки</t>
  </si>
  <si>
    <t>CF(+)</t>
  </si>
  <si>
    <t>CF(-)</t>
  </si>
  <si>
    <t>CF</t>
  </si>
  <si>
    <t>PL(+)</t>
  </si>
  <si>
    <t>PL(-)</t>
  </si>
  <si>
    <t>PL</t>
  </si>
  <si>
    <t>Универсальность подхода к финмоделированию = выделить общее, что свойственно любому бизнесу + уникальность</t>
  </si>
  <si>
    <t>Инфраструктура для e-Comm</t>
  </si>
  <si>
    <t>Капитальные затраты и создание ОС</t>
  </si>
  <si>
    <t>Запуски создания производственных цехов</t>
  </si>
  <si>
    <t>Запуски создания торговых точек</t>
  </si>
  <si>
    <t>Запуски создания продающих сайтов</t>
  </si>
  <si>
    <t>Затраты на создание 1 производственного цеха</t>
  </si>
  <si>
    <t>Производственные цеха</t>
  </si>
  <si>
    <t>Торговые точки</t>
  </si>
  <si>
    <t>парам-1</t>
  </si>
  <si>
    <t>парам-2</t>
  </si>
  <si>
    <t>Затраты на создание 1 торговой точки</t>
  </si>
  <si>
    <t>Затраты на создание продающего сайта</t>
  </si>
  <si>
    <t>Ввод в эксплуатацию 1 производственного цеха</t>
  </si>
  <si>
    <t>Ввод в эксплуатацию 1 торговой точки</t>
  </si>
  <si>
    <t>ввод в эксплуатацию продающего сайта</t>
  </si>
  <si>
    <t>Оплата затрат на создание 1 производственного цеха</t>
  </si>
  <si>
    <t>Оплата затрат на создание 1 торговой точки</t>
  </si>
  <si>
    <t>Оплата затрат на создание продающего сайта</t>
  </si>
  <si>
    <t>Амортизация 1 производственного цеха</t>
  </si>
  <si>
    <t>Амортизация 1 торговой точки</t>
  </si>
  <si>
    <t>Амортизация продающего сайта</t>
  </si>
  <si>
    <t>Аренда офиса</t>
  </si>
  <si>
    <t>Расходы на персонал</t>
  </si>
  <si>
    <t>Реклама</t>
  </si>
  <si>
    <t>Содержание и ремонты помещений</t>
  </si>
  <si>
    <t>Содержагние сайта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</si>
</sst>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0" tint="-0.249977111117893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5" tint="0.39994506668294322"/>
      </left>
      <right style="dashed">
        <color theme="5" tint="0.39994506668294322"/>
      </right>
      <top style="dashed">
        <color theme="5" tint="0.39994506668294322"/>
      </top>
      <bottom style="dashed">
        <color theme="5" tint="0.39994506668294322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3" fontId="10" fillId="0" borderId="0" xfId="0" applyNumberFormat="1" applyFont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164" fontId="5" fillId="2" borderId="0" xfId="0" applyNumberFormat="1" applyFont="1" applyFill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3" fontId="11" fillId="0" borderId="0" xfId="0" applyNumberFormat="1" applyFont="1"/>
    <xf numFmtId="3" fontId="11" fillId="0" borderId="0" xfId="0" applyNumberFormat="1" applyFont="1" applyAlignment="1">
      <alignment horizontal="right" indent="1"/>
    </xf>
    <xf numFmtId="3" fontId="9" fillId="0" borderId="0" xfId="0" applyNumberFormat="1" applyFont="1"/>
    <xf numFmtId="0" fontId="1" fillId="0" borderId="0" xfId="0" applyFont="1"/>
    <xf numFmtId="0" fontId="0" fillId="3" borderId="0" xfId="0" applyFill="1"/>
    <xf numFmtId="3" fontId="7" fillId="0" borderId="0" xfId="0" applyNumberFormat="1" applyFont="1"/>
    <xf numFmtId="3" fontId="4" fillId="0" borderId="0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164" fontId="5" fillId="0" borderId="0" xfId="0" applyNumberFormat="1" applyFont="1" applyFill="1" applyAlignment="1">
      <alignment horizontal="right" indent="1"/>
    </xf>
    <xf numFmtId="3" fontId="14" fillId="4" borderId="0" xfId="0" applyNumberFormat="1" applyFont="1" applyFill="1" applyAlignment="1">
      <alignment horizontal="right" indent="1"/>
    </xf>
    <xf numFmtId="3" fontId="12" fillId="0" borderId="0" xfId="0" applyNumberFormat="1" applyFont="1"/>
    <xf numFmtId="3" fontId="15" fillId="0" borderId="0" xfId="0" applyNumberFormat="1" applyFont="1"/>
    <xf numFmtId="3" fontId="13" fillId="0" borderId="0" xfId="0" applyNumberFormat="1" applyFont="1"/>
    <xf numFmtId="3" fontId="16" fillId="0" borderId="0" xfId="0" applyNumberFormat="1" applyFont="1" applyAlignment="1">
      <alignment horizontal="right" indent="1"/>
    </xf>
    <xf numFmtId="3" fontId="2" fillId="5" borderId="2" xfId="0" applyNumberFormat="1" applyFont="1" applyFill="1" applyBorder="1" applyAlignment="1">
      <alignment horizontal="right" indent="1"/>
    </xf>
    <xf numFmtId="3" fontId="4" fillId="0" borderId="3" xfId="0" applyNumberFormat="1" applyFont="1" applyFill="1" applyBorder="1" applyAlignment="1">
      <alignment horizontal="right" indent="1"/>
    </xf>
    <xf numFmtId="3" fontId="17" fillId="0" borderId="0" xfId="0" applyNumberFormat="1" applyFont="1"/>
    <xf numFmtId="165" fontId="4" fillId="0" borderId="0" xfId="0" applyNumberFormat="1" applyFont="1" applyAlignment="1">
      <alignment horizontal="right" indent="1"/>
    </xf>
    <xf numFmtId="165" fontId="3" fillId="2" borderId="2" xfId="0" applyNumberFormat="1" applyFont="1" applyFill="1" applyBorder="1" applyAlignment="1">
      <alignment horizontal="right" indent="1"/>
    </xf>
    <xf numFmtId="165" fontId="2" fillId="5" borderId="2" xfId="0" applyNumberFormat="1" applyFont="1" applyFill="1" applyBorder="1" applyAlignment="1">
      <alignment horizontal="right" indent="1"/>
    </xf>
    <xf numFmtId="3" fontId="1" fillId="0" borderId="0" xfId="0" applyNumberFormat="1" applyFont="1"/>
  </cellXfs>
  <cellStyles count="1">
    <cellStyle name="Обычный" xfId="0" builtinId="0"/>
  </cellStyles>
  <dxfs count="86"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B4" sqref="B4"/>
    </sheetView>
  </sheetViews>
  <sheetFormatPr defaultRowHeight="14.4" x14ac:dyDescent="0.3"/>
  <sheetData>
    <row r="2" spans="2:3" x14ac:dyDescent="0.3">
      <c r="B2" t="s">
        <v>0</v>
      </c>
    </row>
    <row r="4" spans="2:3" x14ac:dyDescent="0.3">
      <c r="B4" t="s">
        <v>147</v>
      </c>
    </row>
    <row r="6" spans="2:3" x14ac:dyDescent="0.3">
      <c r="B6" t="s">
        <v>1</v>
      </c>
      <c r="C6" t="s">
        <v>2</v>
      </c>
    </row>
    <row r="7" spans="2:3" x14ac:dyDescent="0.3">
      <c r="B7" t="s">
        <v>42</v>
      </c>
      <c r="C7" t="s">
        <v>43</v>
      </c>
    </row>
    <row r="8" spans="2:3" x14ac:dyDescent="0.3">
      <c r="B8" t="s">
        <v>44</v>
      </c>
      <c r="C8" t="s">
        <v>45</v>
      </c>
    </row>
    <row r="9" spans="2:3" x14ac:dyDescent="0.3">
      <c r="B9" t="s">
        <v>137</v>
      </c>
      <c r="C9" t="s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AF244"/>
  <sheetViews>
    <sheetView showGridLines="0" tabSelected="1" workbookViewId="0">
      <pane xSplit="19" ySplit="5" topLeftCell="T105" activePane="bottomRight" state="frozen"/>
      <selection pane="topRight" activeCell="T1" sqref="T1"/>
      <selection pane="bottomLeft" activeCell="A6" sqref="A6"/>
      <selection pane="bottomRight" activeCell="U212" sqref="U212"/>
    </sheetView>
  </sheetViews>
  <sheetFormatPr defaultRowHeight="13.8" x14ac:dyDescent="0.3"/>
  <cols>
    <col min="1" max="1" width="1.77734375" style="1" customWidth="1"/>
    <col min="2" max="2" width="1.77734375" style="10" customWidth="1"/>
    <col min="3" max="8" width="1.77734375" style="1" customWidth="1"/>
    <col min="9" max="13" width="8.88671875" style="1"/>
    <col min="14" max="15" width="2.77734375" style="1" customWidth="1"/>
    <col min="16" max="17" width="1.77734375" style="1" customWidth="1"/>
    <col min="18" max="18" width="15.77734375" style="3" customWidth="1"/>
    <col min="19" max="20" width="1.77734375" style="1" customWidth="1"/>
    <col min="21" max="28" width="13.77734375" style="2" customWidth="1"/>
    <col min="29" max="16384" width="8.88671875" style="1"/>
  </cols>
  <sheetData>
    <row r="1" spans="2:32" s="11" customFormat="1" ht="10.199999999999999" x14ac:dyDescent="0.2">
      <c r="B1" s="10"/>
      <c r="R1" s="15"/>
      <c r="U1" s="12">
        <f>COLUMN()</f>
        <v>21</v>
      </c>
      <c r="V1" s="12">
        <f>COLUMN()</f>
        <v>22</v>
      </c>
      <c r="W1" s="12">
        <f>COLUMN()</f>
        <v>23</v>
      </c>
      <c r="X1" s="12">
        <f>COLUMN()</f>
        <v>24</v>
      </c>
      <c r="Y1" s="12">
        <f>COLUMN()</f>
        <v>25</v>
      </c>
      <c r="Z1" s="12">
        <f>COLUMN()</f>
        <v>26</v>
      </c>
      <c r="AA1" s="12">
        <f>COLUMN()</f>
        <v>27</v>
      </c>
      <c r="AB1" s="12">
        <f>COLUMN()</f>
        <v>28</v>
      </c>
    </row>
    <row r="2" spans="2:32" s="7" customFormat="1" x14ac:dyDescent="0.3">
      <c r="B2" s="24"/>
      <c r="E2" s="7" t="s">
        <v>3</v>
      </c>
      <c r="R2" s="3"/>
      <c r="U2" s="3"/>
      <c r="V2" s="3"/>
      <c r="W2" s="3"/>
      <c r="X2" s="3"/>
      <c r="Y2" s="3"/>
      <c r="Z2" s="3"/>
      <c r="AA2" s="3"/>
      <c r="AB2" s="3"/>
    </row>
    <row r="3" spans="2:32" s="4" customFormat="1" ht="12" x14ac:dyDescent="0.25">
      <c r="B3" s="10"/>
      <c r="R3" s="16" t="s">
        <v>4</v>
      </c>
      <c r="U3" s="8">
        <f>MAX($T3:T3)+1</f>
        <v>1</v>
      </c>
      <c r="V3" s="8">
        <f>MAX($T3:U3)+1</f>
        <v>2</v>
      </c>
      <c r="W3" s="8">
        <f>MAX($T3:V3)+1</f>
        <v>3</v>
      </c>
      <c r="X3" s="8">
        <f>MAX($T3:W3)+1</f>
        <v>4</v>
      </c>
      <c r="Y3" s="8">
        <f>MAX($T3:X3)+1</f>
        <v>5</v>
      </c>
      <c r="Z3" s="8">
        <f>MAX($T3:Y3)+1</f>
        <v>6</v>
      </c>
      <c r="AA3" s="8">
        <f>MAX($T3:Z3)+1</f>
        <v>7</v>
      </c>
      <c r="AB3" s="8">
        <f>MAX($T3:AA3)+1</f>
        <v>8</v>
      </c>
    </row>
    <row r="4" spans="2:32" s="4" customFormat="1" ht="12" x14ac:dyDescent="0.25">
      <c r="B4" s="10"/>
      <c r="R4" s="17">
        <v>45658</v>
      </c>
      <c r="S4" s="5"/>
      <c r="T4" s="5"/>
      <c r="U4" s="6">
        <f>IF(U$3=1,Rep!$R$4,T5+1)</f>
        <v>45658</v>
      </c>
      <c r="V4" s="6">
        <f>IF(V$3=1,Rep!$R$4,U5+1)</f>
        <v>45689</v>
      </c>
      <c r="W4" s="6">
        <f>IF(W$3=1,Rep!$R$4,V5+1)</f>
        <v>45717</v>
      </c>
      <c r="X4" s="6">
        <f>IF(X$3=1,Rep!$R$4,W5+1)</f>
        <v>45748</v>
      </c>
      <c r="Y4" s="6">
        <f>IF(Y$3=1,Rep!$R$4,X5+1)</f>
        <v>45778</v>
      </c>
      <c r="Z4" s="6">
        <f>IF(Z$3=1,Rep!$R$4,Y5+1)</f>
        <v>45809</v>
      </c>
      <c r="AA4" s="6">
        <f>IF(AA$3=1,Rep!$R$4,Z5+1)</f>
        <v>45839</v>
      </c>
      <c r="AB4" s="6">
        <f>IF(AB$3=1,Rep!$R$4,AA5+1)</f>
        <v>45870</v>
      </c>
      <c r="AC4" s="5"/>
      <c r="AD4" s="5"/>
      <c r="AE4" s="5"/>
      <c r="AF4" s="5"/>
    </row>
    <row r="5" spans="2:32" s="4" customFormat="1" ht="12" x14ac:dyDescent="0.25">
      <c r="B5" s="10"/>
      <c r="F5" s="9" t="s">
        <v>5</v>
      </c>
      <c r="R5" s="18">
        <f ca="1">MAX($T5:INDIRECT(ADDRESS(ROW(),SUMIFS($1:$1,$3:$3,MAX($3:$3)))))</f>
        <v>45900</v>
      </c>
      <c r="S5" s="5"/>
      <c r="T5" s="5"/>
      <c r="U5" s="6">
        <f>EOMONTH(U4,0)</f>
        <v>45688</v>
      </c>
      <c r="V5" s="6">
        <f t="shared" ref="V5:AB5" si="0">EOMONTH(V4,0)</f>
        <v>45716</v>
      </c>
      <c r="W5" s="6">
        <f t="shared" si="0"/>
        <v>45747</v>
      </c>
      <c r="X5" s="6">
        <f t="shared" si="0"/>
        <v>45777</v>
      </c>
      <c r="Y5" s="6">
        <f t="shared" si="0"/>
        <v>45808</v>
      </c>
      <c r="Z5" s="6">
        <f t="shared" si="0"/>
        <v>45838</v>
      </c>
      <c r="AA5" s="6">
        <f t="shared" si="0"/>
        <v>45869</v>
      </c>
      <c r="AB5" s="6">
        <f t="shared" si="0"/>
        <v>45900</v>
      </c>
      <c r="AC5" s="5"/>
      <c r="AD5" s="5"/>
      <c r="AE5" s="5"/>
      <c r="AF5" s="5"/>
    </row>
    <row r="7" spans="2:32" s="7" customFormat="1" x14ac:dyDescent="0.3">
      <c r="B7" s="24"/>
      <c r="E7" s="7" t="s">
        <v>6</v>
      </c>
      <c r="R7" s="3"/>
      <c r="U7" s="3"/>
      <c r="V7" s="3"/>
      <c r="W7" s="3"/>
      <c r="X7" s="3"/>
      <c r="Y7" s="3"/>
      <c r="Z7" s="3"/>
      <c r="AA7" s="3"/>
      <c r="AB7" s="3"/>
    </row>
    <row r="8" spans="2:32" x14ac:dyDescent="0.3">
      <c r="F8" s="1" t="s">
        <v>7</v>
      </c>
      <c r="R8" s="3">
        <f>SUMIFS(R9:R29,$G9:$G29,"&lt;&gt;"&amp;"",$H9:$H29,"")</f>
        <v>0</v>
      </c>
      <c r="U8" s="2">
        <f>SUMIFS(U9:U29,$G9:$G29,"&lt;&gt;"&amp;"",$H9:$H29,"")</f>
        <v>0</v>
      </c>
      <c r="V8" s="2">
        <f t="shared" ref="V8:AB8" ca="1" si="1">SUMIFS(V9:V29,$G9:$G29,"&lt;&gt;"&amp;"",$H9:$H29,"")</f>
        <v>60990000</v>
      </c>
      <c r="W8" s="2">
        <f t="shared" ca="1" si="1"/>
        <v>60230000</v>
      </c>
      <c r="X8" s="2">
        <f t="shared" ca="1" si="1"/>
        <v>54096666.666666664</v>
      </c>
      <c r="Y8" s="2">
        <f t="shared" ca="1" si="1"/>
        <v>49962961.904761903</v>
      </c>
      <c r="Z8" s="2">
        <f t="shared" ca="1" si="1"/>
        <v>64048890.476190478</v>
      </c>
      <c r="AA8" s="2">
        <f t="shared" ca="1" si="1"/>
        <v>59252466.269841269</v>
      </c>
      <c r="AB8" s="2">
        <f t="shared" ca="1" si="1"/>
        <v>58471117.06349206</v>
      </c>
    </row>
    <row r="9" spans="2:32" x14ac:dyDescent="0.3">
      <c r="G9" s="1" t="s">
        <v>8</v>
      </c>
      <c r="R9" s="34">
        <f>SUM(R10:R12)</f>
        <v>0</v>
      </c>
      <c r="U9" s="2">
        <f>IF(U$3=1,$R9,T197)</f>
        <v>0</v>
      </c>
      <c r="V9" s="2">
        <f t="shared" ref="V9:AB9" ca="1" si="2">IF(V$3=1,$R9,U197)</f>
        <v>0</v>
      </c>
      <c r="W9" s="2">
        <f t="shared" ca="1" si="2"/>
        <v>0</v>
      </c>
      <c r="X9" s="2">
        <f t="shared" ca="1" si="2"/>
        <v>0</v>
      </c>
      <c r="Y9" s="2">
        <f t="shared" ca="1" si="2"/>
        <v>0</v>
      </c>
      <c r="Z9" s="2">
        <f t="shared" ca="1" si="2"/>
        <v>0</v>
      </c>
      <c r="AA9" s="2">
        <f t="shared" ca="1" si="2"/>
        <v>0</v>
      </c>
      <c r="AB9" s="2">
        <f t="shared" ca="1" si="2"/>
        <v>0</v>
      </c>
    </row>
    <row r="10" spans="2:32" s="4" customFormat="1" ht="12" x14ac:dyDescent="0.25">
      <c r="B10" s="30"/>
      <c r="G10" s="31" t="str">
        <f>G9</f>
        <v>Авансы выданные по капзатратам</v>
      </c>
      <c r="H10" s="4" t="str">
        <f>Lists!$H$8</f>
        <v>Производственные цеха</v>
      </c>
      <c r="R10" s="33"/>
      <c r="U10" s="33">
        <f>IF(U$3=1,$R10,T198)</f>
        <v>0</v>
      </c>
      <c r="V10" s="33">
        <f ca="1">IF(V$3=1,$R10,U198)</f>
        <v>0</v>
      </c>
      <c r="W10" s="33">
        <f ca="1">IF(W$3=1,$R10,V198)</f>
        <v>0</v>
      </c>
      <c r="X10" s="33">
        <f ca="1">IF(X$3=1,$R10,W198)</f>
        <v>0</v>
      </c>
      <c r="Y10" s="33">
        <f ca="1">IF(Y$3=1,$R10,X198)</f>
        <v>0</v>
      </c>
      <c r="Z10" s="33">
        <f ca="1">IF(Z$3=1,$R10,Y198)</f>
        <v>0</v>
      </c>
      <c r="AA10" s="33">
        <f ca="1">IF(AA$3=1,$R10,Z198)</f>
        <v>0</v>
      </c>
      <c r="AB10" s="33">
        <f ca="1">IF(AB$3=1,$R10,AA198)</f>
        <v>0</v>
      </c>
    </row>
    <row r="11" spans="2:32" s="4" customFormat="1" ht="12" x14ac:dyDescent="0.25">
      <c r="B11" s="30"/>
      <c r="G11" s="31" t="str">
        <f>G9</f>
        <v>Авансы выданные по капзатратам</v>
      </c>
      <c r="H11" s="4" t="str">
        <f>Lists!$H$9</f>
        <v>Торговые точки</v>
      </c>
      <c r="R11" s="33"/>
      <c r="U11" s="33">
        <f>IF(U$3=1,$R11,T199)</f>
        <v>0</v>
      </c>
      <c r="V11" s="33">
        <f ca="1">IF(V$3=1,$R11,U199)</f>
        <v>0</v>
      </c>
      <c r="W11" s="33">
        <f ca="1">IF(W$3=1,$R11,V199)</f>
        <v>0</v>
      </c>
      <c r="X11" s="33">
        <f ca="1">IF(X$3=1,$R11,W199)</f>
        <v>0</v>
      </c>
      <c r="Y11" s="33">
        <f ca="1">IF(Y$3=1,$R11,X199)</f>
        <v>0</v>
      </c>
      <c r="Z11" s="33">
        <f ca="1">IF(Z$3=1,$R11,Y199)</f>
        <v>0</v>
      </c>
      <c r="AA11" s="33">
        <f ca="1">IF(AA$3=1,$R11,Z199)</f>
        <v>0</v>
      </c>
      <c r="AB11" s="33">
        <f ca="1">IF(AB$3=1,$R11,AA199)</f>
        <v>0</v>
      </c>
    </row>
    <row r="12" spans="2:32" s="4" customFormat="1" ht="12" x14ac:dyDescent="0.25">
      <c r="B12" s="30"/>
      <c r="G12" s="31" t="str">
        <f>G9</f>
        <v>Авансы выданные по капзатратам</v>
      </c>
      <c r="H12" s="4" t="str">
        <f>Lists!$H$10</f>
        <v>Инфраструктура для e-Comm</v>
      </c>
      <c r="R12" s="33"/>
      <c r="U12" s="33">
        <f>IF(U$3=1,$R12,T200)</f>
        <v>0</v>
      </c>
      <c r="V12" s="33">
        <f ca="1">IF(V$3=1,$R12,U200)</f>
        <v>0</v>
      </c>
      <c r="W12" s="33">
        <f ca="1">IF(W$3=1,$R12,V200)</f>
        <v>0</v>
      </c>
      <c r="X12" s="33">
        <f ca="1">IF(X$3=1,$R12,W200)</f>
        <v>0</v>
      </c>
      <c r="Y12" s="33">
        <f ca="1">IF(Y$3=1,$R12,X200)</f>
        <v>0</v>
      </c>
      <c r="Z12" s="33">
        <f ca="1">IF(Z$3=1,$R12,Y200)</f>
        <v>0</v>
      </c>
      <c r="AA12" s="33">
        <f ca="1">IF(AA$3=1,$R12,Z200)</f>
        <v>0</v>
      </c>
      <c r="AB12" s="33">
        <f ca="1">IF(AB$3=1,$R12,AA200)</f>
        <v>0</v>
      </c>
    </row>
    <row r="13" spans="2:32" x14ac:dyDescent="0.3">
      <c r="G13" s="1" t="s">
        <v>9</v>
      </c>
      <c r="R13" s="34">
        <f>SUM(R14:R16)</f>
        <v>0</v>
      </c>
      <c r="U13" s="2">
        <f>IF(U$3=1,$R13,T201)</f>
        <v>0</v>
      </c>
      <c r="V13" s="2">
        <f ca="1">IF(V$3=1,$R13,U201)</f>
        <v>23000000</v>
      </c>
      <c r="W13" s="2">
        <f ca="1">IF(W$3=1,$R13,V201)</f>
        <v>35000000</v>
      </c>
      <c r="X13" s="2">
        <f ca="1">IF(X$3=1,$R13,W201)</f>
        <v>6000000</v>
      </c>
      <c r="Y13" s="2">
        <f ca="1">IF(Y$3=1,$R13,X201)</f>
        <v>700000</v>
      </c>
      <c r="Z13" s="2">
        <f ca="1">IF(Z$3=1,$R13,Y201)</f>
        <v>29000000</v>
      </c>
      <c r="AA13" s="2">
        <f ca="1">IF(AA$3=1,$R13,Z201)</f>
        <v>35000000</v>
      </c>
      <c r="AB13" s="2">
        <f ca="1">IF(AB$3=1,$R13,AA201)</f>
        <v>15000000</v>
      </c>
    </row>
    <row r="14" spans="2:32" s="4" customFormat="1" ht="12" x14ac:dyDescent="0.25">
      <c r="B14" s="30"/>
      <c r="G14" s="31" t="str">
        <f>G13</f>
        <v>Незавершенные капзатраты</v>
      </c>
      <c r="H14" s="4" t="str">
        <f>Lists!$H$8</f>
        <v>Производственные цеха</v>
      </c>
      <c r="R14" s="33"/>
      <c r="U14" s="33">
        <f>IF(U$3=1,$R14,T202)</f>
        <v>0</v>
      </c>
      <c r="V14" s="33">
        <f ca="1">IF(V$3=1,$R14,U202)</f>
        <v>20000000</v>
      </c>
      <c r="W14" s="33">
        <f ca="1">IF(W$3=1,$R14,V202)</f>
        <v>35000000</v>
      </c>
      <c r="X14" s="33">
        <f ca="1">IF(X$3=1,$R14,W202)</f>
        <v>0</v>
      </c>
      <c r="Y14" s="33">
        <f ca="1">IF(Y$3=1,$R14,X202)</f>
        <v>0</v>
      </c>
      <c r="Z14" s="33">
        <f ca="1">IF(Z$3=1,$R14,Y202)</f>
        <v>20000000</v>
      </c>
      <c r="AA14" s="33">
        <f ca="1">IF(AA$3=1,$R14,Z202)</f>
        <v>35000000</v>
      </c>
      <c r="AB14" s="33">
        <f ca="1">IF(AB$3=1,$R14,AA202)</f>
        <v>0</v>
      </c>
    </row>
    <row r="15" spans="2:32" s="4" customFormat="1" ht="12" x14ac:dyDescent="0.25">
      <c r="B15" s="30"/>
      <c r="G15" s="31" t="str">
        <f>G13</f>
        <v>Незавершенные капзатраты</v>
      </c>
      <c r="H15" s="4" t="str">
        <f>Lists!$H$9</f>
        <v>Торговые точки</v>
      </c>
      <c r="R15" s="33"/>
      <c r="U15" s="33">
        <f>IF(U$3=1,$R15,T203)</f>
        <v>0</v>
      </c>
      <c r="V15" s="33">
        <f ca="1">IF(V$3=1,$R15,U203)</f>
        <v>3000000</v>
      </c>
      <c r="W15" s="33">
        <f ca="1">IF(W$3=1,$R15,V203)</f>
        <v>0</v>
      </c>
      <c r="X15" s="33">
        <f ca="1">IF(X$3=1,$R15,W203)</f>
        <v>6000000</v>
      </c>
      <c r="Y15" s="33">
        <f ca="1">IF(Y$3=1,$R15,X203)</f>
        <v>0</v>
      </c>
      <c r="Z15" s="33">
        <f ca="1">IF(Z$3=1,$R15,Y203)</f>
        <v>9000000</v>
      </c>
      <c r="AA15" s="33">
        <f ca="1">IF(AA$3=1,$R15,Z203)</f>
        <v>0</v>
      </c>
      <c r="AB15" s="33">
        <f ca="1">IF(AB$3=1,$R15,AA203)</f>
        <v>15000000</v>
      </c>
    </row>
    <row r="16" spans="2:32" s="4" customFormat="1" ht="12" x14ac:dyDescent="0.25">
      <c r="B16" s="30"/>
      <c r="G16" s="31" t="str">
        <f>G13</f>
        <v>Незавершенные капзатраты</v>
      </c>
      <c r="H16" s="4" t="str">
        <f>Lists!$H$10</f>
        <v>Инфраструктура для e-Comm</v>
      </c>
      <c r="R16" s="33"/>
      <c r="U16" s="33">
        <f>IF(U$3=1,$R16,T204)</f>
        <v>0</v>
      </c>
      <c r="V16" s="33">
        <f ca="1">IF(V$3=1,$R16,U204)</f>
        <v>0</v>
      </c>
      <c r="W16" s="33">
        <f ca="1">IF(W$3=1,$R16,V204)</f>
        <v>0</v>
      </c>
      <c r="X16" s="33">
        <f ca="1">IF(X$3=1,$R16,W204)</f>
        <v>0</v>
      </c>
      <c r="Y16" s="33">
        <f ca="1">IF(Y$3=1,$R16,X204)</f>
        <v>700000</v>
      </c>
      <c r="Z16" s="33">
        <f ca="1">IF(Z$3=1,$R16,Y204)</f>
        <v>0</v>
      </c>
      <c r="AA16" s="33">
        <f ca="1">IF(AA$3=1,$R16,Z204)</f>
        <v>0</v>
      </c>
      <c r="AB16" s="33">
        <f ca="1">IF(AB$3=1,$R16,AA204)</f>
        <v>0</v>
      </c>
    </row>
    <row r="17" spans="2:28" x14ac:dyDescent="0.3">
      <c r="G17" s="1" t="s">
        <v>10</v>
      </c>
      <c r="R17" s="34">
        <f>SUM(R18:R20)</f>
        <v>0</v>
      </c>
      <c r="U17" s="2">
        <f>IF(U$3=1,$R17,T205)</f>
        <v>0</v>
      </c>
      <c r="V17" s="2">
        <f ca="1">IF(V$3=1,$R17,U205)</f>
        <v>0</v>
      </c>
      <c r="W17" s="2">
        <f ca="1">IF(W$3=1,$R17,V205)</f>
        <v>3500000</v>
      </c>
      <c r="X17" s="2">
        <f ca="1">IF(X$3=1,$R17,W205)</f>
        <v>39441666.666666664</v>
      </c>
      <c r="Y17" s="2">
        <f ca="1">IF(Y$3=1,$R17,X205)</f>
        <v>45954761.904761903</v>
      </c>
      <c r="Z17" s="2">
        <f ca="1">IF(Z$3=1,$R17,Y205)</f>
        <v>46351190.476190478</v>
      </c>
      <c r="AA17" s="2">
        <f ca="1">IF(AA$3=1,$R17,Z205)</f>
        <v>56219841.269841269</v>
      </c>
      <c r="AB17" s="2">
        <f ca="1">IF(AB$3=1,$R17,AA205)</f>
        <v>91413492.06349206</v>
      </c>
    </row>
    <row r="18" spans="2:28" s="4" customFormat="1" ht="12" x14ac:dyDescent="0.25">
      <c r="B18" s="30"/>
      <c r="G18" s="31" t="str">
        <f>G17</f>
        <v>ОС</v>
      </c>
      <c r="H18" s="4" t="str">
        <f>Lists!$H$8</f>
        <v>Производственные цеха</v>
      </c>
      <c r="R18" s="33"/>
      <c r="U18" s="33">
        <f>IF(U$3=1,$R18,T206)</f>
        <v>0</v>
      </c>
      <c r="V18" s="33">
        <f ca="1">IF(V$3=1,$R18,U206)</f>
        <v>0</v>
      </c>
      <c r="W18" s="33">
        <f ca="1">IF(W$3=1,$R18,V206)</f>
        <v>0</v>
      </c>
      <c r="X18" s="33">
        <f ca="1">IF(X$3=1,$R18,W206)</f>
        <v>36000000</v>
      </c>
      <c r="Y18" s="33">
        <f ca="1">IF(Y$3=1,$R18,X206)</f>
        <v>35571428.571428575</v>
      </c>
      <c r="Z18" s="33">
        <f ca="1">IF(Z$3=1,$R18,Y206)</f>
        <v>35142857.142857149</v>
      </c>
      <c r="AA18" s="33">
        <f ca="1">IF(AA$3=1,$R18,Z206)</f>
        <v>34714285.714285724</v>
      </c>
      <c r="AB18" s="33">
        <f ca="1">IF(AB$3=1,$R18,AA206)</f>
        <v>70285714.285714298</v>
      </c>
    </row>
    <row r="19" spans="2:28" s="4" customFormat="1" ht="12" x14ac:dyDescent="0.25">
      <c r="B19" s="30"/>
      <c r="G19" s="31" t="str">
        <f>G17</f>
        <v>ОС</v>
      </c>
      <c r="H19" s="4" t="str">
        <f>Lists!$H$9</f>
        <v>Торговые точки</v>
      </c>
      <c r="R19" s="33"/>
      <c r="U19" s="33">
        <f>IF(U$3=1,$R19,T207)</f>
        <v>0</v>
      </c>
      <c r="V19" s="33">
        <f ca="1">IF(V$3=1,$R19,U207)</f>
        <v>0</v>
      </c>
      <c r="W19" s="33">
        <f ca="1">IF(W$3=1,$R19,V207)</f>
        <v>3500000</v>
      </c>
      <c r="X19" s="33">
        <f ca="1">IF(X$3=1,$R19,W207)</f>
        <v>3441666.6666666665</v>
      </c>
      <c r="Y19" s="33">
        <f ca="1">IF(Y$3=1,$R19,X207)</f>
        <v>10383333.333333332</v>
      </c>
      <c r="Z19" s="33">
        <f ca="1">IF(Z$3=1,$R19,Y207)</f>
        <v>10208333.333333332</v>
      </c>
      <c r="AA19" s="33">
        <f ca="1">IF(AA$3=1,$R19,Z207)</f>
        <v>20533333.333333332</v>
      </c>
      <c r="AB19" s="33">
        <f ca="1">IF(AB$3=1,$R19,AA207)</f>
        <v>20183333.333333332</v>
      </c>
    </row>
    <row r="20" spans="2:28" s="4" customFormat="1" ht="12" x14ac:dyDescent="0.25">
      <c r="B20" s="30"/>
      <c r="G20" s="31" t="str">
        <f>G17</f>
        <v>ОС</v>
      </c>
      <c r="H20" s="4" t="str">
        <f>Lists!$H$10</f>
        <v>Инфраструктура для e-Comm</v>
      </c>
      <c r="R20" s="33"/>
      <c r="U20" s="33">
        <f>IF(U$3=1,$R20,T208)</f>
        <v>0</v>
      </c>
      <c r="V20" s="33">
        <f ca="1">IF(V$3=1,$R20,U208)</f>
        <v>0</v>
      </c>
      <c r="W20" s="33">
        <f ca="1">IF(W$3=1,$R20,V208)</f>
        <v>0</v>
      </c>
      <c r="X20" s="33">
        <f ca="1">IF(X$3=1,$R20,W208)</f>
        <v>0</v>
      </c>
      <c r="Y20" s="33">
        <f ca="1">IF(Y$3=1,$R20,X208)</f>
        <v>0</v>
      </c>
      <c r="Z20" s="33">
        <f ca="1">IF(Z$3=1,$R20,Y208)</f>
        <v>1000000</v>
      </c>
      <c r="AA20" s="33">
        <f ca="1">IF(AA$3=1,$R20,Z208)</f>
        <v>972222.22222222225</v>
      </c>
      <c r="AB20" s="33">
        <f ca="1">IF(AB$3=1,$R20,AA208)</f>
        <v>944444.4444444445</v>
      </c>
    </row>
    <row r="21" spans="2:28" x14ac:dyDescent="0.3">
      <c r="G21" s="1" t="s">
        <v>11</v>
      </c>
      <c r="R21" s="13"/>
      <c r="U21" s="2">
        <f t="shared" ref="U21:AB21" si="3">IF(U$3=1,$R21,T209)</f>
        <v>0</v>
      </c>
      <c r="V21" s="2">
        <f t="shared" si="3"/>
        <v>0</v>
      </c>
      <c r="W21" s="2">
        <f t="shared" si="3"/>
        <v>0</v>
      </c>
      <c r="X21" s="2">
        <f t="shared" si="3"/>
        <v>0</v>
      </c>
      <c r="Y21" s="2">
        <f t="shared" si="3"/>
        <v>0</v>
      </c>
      <c r="Z21" s="2">
        <f t="shared" si="3"/>
        <v>0</v>
      </c>
      <c r="AA21" s="2">
        <f t="shared" si="3"/>
        <v>0</v>
      </c>
      <c r="AB21" s="2">
        <f t="shared" si="3"/>
        <v>0</v>
      </c>
    </row>
    <row r="22" spans="2:28" x14ac:dyDescent="0.3">
      <c r="G22" s="1" t="s">
        <v>12</v>
      </c>
      <c r="R22" s="13"/>
      <c r="U22" s="2">
        <f t="shared" ref="U22:AB22" si="4">IF(U$3=1,$R22,T210)</f>
        <v>0</v>
      </c>
      <c r="V22" s="2">
        <f t="shared" si="4"/>
        <v>0</v>
      </c>
      <c r="W22" s="2">
        <f t="shared" si="4"/>
        <v>0</v>
      </c>
      <c r="X22" s="2">
        <f t="shared" si="4"/>
        <v>0</v>
      </c>
      <c r="Y22" s="2">
        <f t="shared" si="4"/>
        <v>0</v>
      </c>
      <c r="Z22" s="2">
        <f t="shared" si="4"/>
        <v>0</v>
      </c>
      <c r="AA22" s="2">
        <f t="shared" si="4"/>
        <v>0</v>
      </c>
      <c r="AB22" s="2">
        <f t="shared" si="4"/>
        <v>0</v>
      </c>
    </row>
    <row r="23" spans="2:28" x14ac:dyDescent="0.3">
      <c r="G23" s="1" t="s">
        <v>13</v>
      </c>
      <c r="R23" s="13"/>
      <c r="U23" s="2">
        <f t="shared" ref="U23:AB23" si="5">IF(U$3=1,$R23,T211)</f>
        <v>0</v>
      </c>
      <c r="V23" s="2">
        <f t="shared" si="5"/>
        <v>0</v>
      </c>
      <c r="W23" s="2">
        <f t="shared" si="5"/>
        <v>0</v>
      </c>
      <c r="X23" s="2">
        <f t="shared" si="5"/>
        <v>70000</v>
      </c>
      <c r="Y23" s="2">
        <f t="shared" si="5"/>
        <v>0</v>
      </c>
      <c r="Z23" s="2">
        <f t="shared" si="5"/>
        <v>0</v>
      </c>
      <c r="AA23" s="2">
        <f t="shared" si="5"/>
        <v>0</v>
      </c>
      <c r="AB23" s="2">
        <f t="shared" si="5"/>
        <v>0</v>
      </c>
    </row>
    <row r="24" spans="2:28" x14ac:dyDescent="0.3">
      <c r="G24" s="1" t="s">
        <v>14</v>
      </c>
      <c r="R24" s="13"/>
      <c r="U24" s="2">
        <f t="shared" ref="U24:AB24" si="6">IF(U$3=1,$R24,T212)</f>
        <v>0</v>
      </c>
      <c r="V24" s="2">
        <f t="shared" si="6"/>
        <v>0</v>
      </c>
      <c r="W24" s="2">
        <f t="shared" si="6"/>
        <v>0</v>
      </c>
      <c r="X24" s="2">
        <f t="shared" si="6"/>
        <v>0</v>
      </c>
      <c r="Y24" s="2">
        <f t="shared" si="6"/>
        <v>0</v>
      </c>
      <c r="Z24" s="2">
        <f t="shared" si="6"/>
        <v>0</v>
      </c>
      <c r="AA24" s="2">
        <f t="shared" si="6"/>
        <v>0</v>
      </c>
      <c r="AB24" s="2">
        <f t="shared" si="6"/>
        <v>0</v>
      </c>
    </row>
    <row r="25" spans="2:28" x14ac:dyDescent="0.3">
      <c r="G25" s="1" t="s">
        <v>15</v>
      </c>
      <c r="R25" s="13"/>
      <c r="U25" s="2">
        <f t="shared" ref="U25:AB25" si="7">IF(U$3=1,$R25,T213)</f>
        <v>0</v>
      </c>
      <c r="V25" s="2">
        <f t="shared" si="7"/>
        <v>0</v>
      </c>
      <c r="W25" s="2">
        <f t="shared" si="7"/>
        <v>0</v>
      </c>
      <c r="X25" s="2">
        <f t="shared" si="7"/>
        <v>0</v>
      </c>
      <c r="Y25" s="2">
        <f t="shared" si="7"/>
        <v>120000</v>
      </c>
      <c r="Z25" s="2">
        <f t="shared" si="7"/>
        <v>700000</v>
      </c>
      <c r="AA25" s="2">
        <f t="shared" si="7"/>
        <v>705000</v>
      </c>
      <c r="AB25" s="2">
        <f t="shared" si="7"/>
        <v>1705000</v>
      </c>
    </row>
    <row r="26" spans="2:28" x14ac:dyDescent="0.3">
      <c r="G26" s="1" t="s">
        <v>16</v>
      </c>
      <c r="R26" s="13"/>
      <c r="U26" s="2">
        <f t="shared" ref="U26:AB26" si="8">IF(U$3=1,$R26,T214)</f>
        <v>0</v>
      </c>
      <c r="V26" s="2">
        <f t="shared" si="8"/>
        <v>0</v>
      </c>
      <c r="W26" s="2">
        <f t="shared" si="8"/>
        <v>0</v>
      </c>
      <c r="X26" s="2">
        <f t="shared" si="8"/>
        <v>0</v>
      </c>
      <c r="Y26" s="2">
        <f t="shared" si="8"/>
        <v>0</v>
      </c>
      <c r="Z26" s="2">
        <f t="shared" si="8"/>
        <v>0</v>
      </c>
      <c r="AA26" s="2">
        <f t="shared" si="8"/>
        <v>0</v>
      </c>
      <c r="AB26" s="2">
        <f t="shared" si="8"/>
        <v>0</v>
      </c>
    </row>
    <row r="27" spans="2:28" x14ac:dyDescent="0.3">
      <c r="G27" s="1" t="s">
        <v>17</v>
      </c>
      <c r="R27" s="13"/>
      <c r="U27" s="2">
        <f t="shared" ref="U27:AB27" si="9">IF(U$3=1,$R27,T215)</f>
        <v>0</v>
      </c>
      <c r="V27" s="2">
        <f t="shared" ca="1" si="9"/>
        <v>37990000</v>
      </c>
      <c r="W27" s="2">
        <f t="shared" ca="1" si="9"/>
        <v>21730000</v>
      </c>
      <c r="X27" s="2">
        <f t="shared" ca="1" si="9"/>
        <v>8585000</v>
      </c>
      <c r="Y27" s="2">
        <f t="shared" ca="1" si="9"/>
        <v>3188200</v>
      </c>
      <c r="Z27" s="2">
        <f t="shared" ca="1" si="9"/>
        <v>-12002300</v>
      </c>
      <c r="AA27" s="2">
        <f t="shared" ca="1" si="9"/>
        <v>-32672375</v>
      </c>
      <c r="AB27" s="2">
        <f t="shared" ca="1" si="9"/>
        <v>-49647375</v>
      </c>
    </row>
    <row r="28" spans="2:28" x14ac:dyDescent="0.3">
      <c r="G28" s="1" t="s">
        <v>18</v>
      </c>
      <c r="R28" s="13"/>
      <c r="U28" s="2">
        <f t="shared" ref="U28:AB28" si="10">IF(U$3=1,$R28,T216)</f>
        <v>0</v>
      </c>
      <c r="V28" s="2">
        <f t="shared" si="10"/>
        <v>0</v>
      </c>
      <c r="W28" s="2">
        <f t="shared" si="10"/>
        <v>0</v>
      </c>
      <c r="X28" s="2">
        <f t="shared" si="10"/>
        <v>0</v>
      </c>
      <c r="Y28" s="2">
        <f t="shared" si="10"/>
        <v>0</v>
      </c>
      <c r="Z28" s="2">
        <f t="shared" si="10"/>
        <v>0</v>
      </c>
      <c r="AA28" s="2">
        <f t="shared" si="10"/>
        <v>0</v>
      </c>
      <c r="AB28" s="2">
        <f t="shared" si="10"/>
        <v>0</v>
      </c>
    </row>
    <row r="29" spans="2:28" ht="4.95" customHeight="1" x14ac:dyDescent="0.3"/>
    <row r="30" spans="2:28" s="4" customFormat="1" ht="12" x14ac:dyDescent="0.25">
      <c r="B30" s="10"/>
      <c r="F30" s="4" t="s">
        <v>19</v>
      </c>
      <c r="R30" s="16">
        <f ca="1">SUM($T30:INDIRECT(ADDRESS(ROW(),SUMIFS($1:$1,$3:$3,MAX($3:$3)))))</f>
        <v>0</v>
      </c>
      <c r="U30" s="8">
        <f>IF(ABS(U8-U32)&lt;=0.001,0,U8-U32)</f>
        <v>0</v>
      </c>
      <c r="V30" s="8">
        <f t="shared" ref="V30:AB30" ca="1" si="11">IF(ABS(V8-V32)&lt;=0.001,0,V8-V32)</f>
        <v>0</v>
      </c>
      <c r="W30" s="8">
        <f t="shared" ca="1" si="11"/>
        <v>0</v>
      </c>
      <c r="X30" s="8">
        <f t="shared" ca="1" si="11"/>
        <v>0</v>
      </c>
      <c r="Y30" s="8">
        <f t="shared" ca="1" si="11"/>
        <v>0</v>
      </c>
      <c r="Z30" s="8">
        <f t="shared" ca="1" si="11"/>
        <v>0</v>
      </c>
      <c r="AA30" s="8">
        <f t="shared" ca="1" si="11"/>
        <v>0</v>
      </c>
      <c r="AB30" s="8">
        <f t="shared" ca="1" si="11"/>
        <v>0</v>
      </c>
    </row>
    <row r="31" spans="2:28" ht="4.95" customHeight="1" x14ac:dyDescent="0.3"/>
    <row r="32" spans="2:28" x14ac:dyDescent="0.3">
      <c r="F32" s="1" t="s">
        <v>20</v>
      </c>
      <c r="R32" s="3">
        <f>SUMIFS(R33:R56,$G33:$G56,"&lt;&gt;"&amp;"",$H33:$H56,"")</f>
        <v>0</v>
      </c>
      <c r="U32" s="2">
        <f>SUMIFS(U33:U56,$G33:$G56,"&lt;&gt;"&amp;"",$H33:$H56,"")</f>
        <v>0</v>
      </c>
      <c r="V32" s="2">
        <f t="shared" ref="V32:AB32" ca="1" si="12">SUMIFS(V33:V56,$G33:$G56,"&lt;&gt;"&amp;"",$H33:$H56,"")</f>
        <v>60990000</v>
      </c>
      <c r="W32" s="2">
        <f t="shared" ca="1" si="12"/>
        <v>60230000</v>
      </c>
      <c r="X32" s="2">
        <f t="shared" ca="1" si="12"/>
        <v>54096666.666666664</v>
      </c>
      <c r="Y32" s="2">
        <f t="shared" ca="1" si="12"/>
        <v>49962961.904761903</v>
      </c>
      <c r="Z32" s="2">
        <f t="shared" ca="1" si="12"/>
        <v>64048890.476190478</v>
      </c>
      <c r="AA32" s="2">
        <f t="shared" ca="1" si="12"/>
        <v>59252466.269841269</v>
      </c>
      <c r="AB32" s="2">
        <f t="shared" ca="1" si="12"/>
        <v>58471117.06349206</v>
      </c>
    </row>
    <row r="33" spans="2:28" x14ac:dyDescent="0.3">
      <c r="G33" s="1" t="s">
        <v>21</v>
      </c>
      <c r="R33" s="3">
        <f>SUM(R34:R38)</f>
        <v>0</v>
      </c>
      <c r="U33" s="2">
        <f>SUM(U34:U38)</f>
        <v>0</v>
      </c>
      <c r="V33" s="2">
        <f t="shared" ref="V33:AB33" ca="1" si="13">SUM(V34:V38)</f>
        <v>49840000</v>
      </c>
      <c r="W33" s="2">
        <f t="shared" ca="1" si="13"/>
        <v>49680000</v>
      </c>
      <c r="X33" s="2">
        <f t="shared" ca="1" si="13"/>
        <v>49458750</v>
      </c>
      <c r="Y33" s="2">
        <f t="shared" ca="1" si="13"/>
        <v>48812177.182539679</v>
      </c>
      <c r="Z33" s="2">
        <f t="shared" ca="1" si="13"/>
        <v>48684988.690476194</v>
      </c>
      <c r="AA33" s="2">
        <f t="shared" ca="1" si="13"/>
        <v>47846128.96825397</v>
      </c>
      <c r="AB33" s="2">
        <f t="shared" ca="1" si="13"/>
        <v>47804275.793650791</v>
      </c>
    </row>
    <row r="34" spans="2:28" x14ac:dyDescent="0.3">
      <c r="G34" s="1" t="str">
        <f>$G$33</f>
        <v>Собственный капитал</v>
      </c>
      <c r="H34" s="1" t="s">
        <v>22</v>
      </c>
      <c r="R34" s="13"/>
      <c r="U34" s="2">
        <f t="shared" ref="U34:AB34" si="14">IF(U$3=1,$R34,T222)</f>
        <v>0</v>
      </c>
      <c r="V34" s="2">
        <f t="shared" si="14"/>
        <v>50000000</v>
      </c>
      <c r="W34" s="2">
        <f t="shared" si="14"/>
        <v>50000000</v>
      </c>
      <c r="X34" s="2">
        <f t="shared" si="14"/>
        <v>50000000</v>
      </c>
      <c r="Y34" s="2">
        <f t="shared" si="14"/>
        <v>50000000</v>
      </c>
      <c r="Z34" s="2">
        <f t="shared" si="14"/>
        <v>50000000</v>
      </c>
      <c r="AA34" s="2">
        <f t="shared" si="14"/>
        <v>50000000</v>
      </c>
      <c r="AB34" s="2">
        <f t="shared" si="14"/>
        <v>50000000</v>
      </c>
    </row>
    <row r="35" spans="2:28" x14ac:dyDescent="0.3">
      <c r="G35" s="1" t="str">
        <f t="shared" ref="G35:G38" si="15">$G$33</f>
        <v>Собственный капитал</v>
      </c>
      <c r="H35" s="1" t="s">
        <v>23</v>
      </c>
      <c r="R35" s="13"/>
      <c r="U35" s="2">
        <f t="shared" ref="U35:AB35" si="16">IF(U$3=1,$R35,T223)</f>
        <v>0</v>
      </c>
      <c r="V35" s="2">
        <f t="shared" si="16"/>
        <v>0</v>
      </c>
      <c r="W35" s="2">
        <f t="shared" si="16"/>
        <v>0</v>
      </c>
      <c r="X35" s="2">
        <f t="shared" si="16"/>
        <v>0</v>
      </c>
      <c r="Y35" s="2">
        <f t="shared" si="16"/>
        <v>0</v>
      </c>
      <c r="Z35" s="2">
        <f t="shared" si="16"/>
        <v>0</v>
      </c>
      <c r="AA35" s="2">
        <f t="shared" si="16"/>
        <v>0</v>
      </c>
      <c r="AB35" s="2">
        <f t="shared" si="16"/>
        <v>0</v>
      </c>
    </row>
    <row r="36" spans="2:28" x14ac:dyDescent="0.3">
      <c r="G36" s="1" t="str">
        <f t="shared" si="15"/>
        <v>Собственный капитал</v>
      </c>
      <c r="H36" s="1" t="s">
        <v>24</v>
      </c>
      <c r="R36" s="13"/>
      <c r="U36" s="2">
        <f t="shared" ref="U36:AB36" si="17">IF(U$3=1,$R36,T224)</f>
        <v>0</v>
      </c>
      <c r="V36" s="2">
        <f t="shared" ca="1" si="17"/>
        <v>-160000</v>
      </c>
      <c r="W36" s="2">
        <f t="shared" ca="1" si="17"/>
        <v>-320000</v>
      </c>
      <c r="X36" s="2">
        <f t="shared" ca="1" si="17"/>
        <v>-541250</v>
      </c>
      <c r="Y36" s="2">
        <f t="shared" ca="1" si="17"/>
        <v>-1187822.8174603174</v>
      </c>
      <c r="Z36" s="2">
        <f t="shared" ca="1" si="17"/>
        <v>-1315011.3095238095</v>
      </c>
      <c r="AA36" s="2">
        <f t="shared" ca="1" si="17"/>
        <v>-2153871.0317460317</v>
      </c>
      <c r="AB36" s="2">
        <f t="shared" ca="1" si="17"/>
        <v>-2195724.2063492062</v>
      </c>
    </row>
    <row r="37" spans="2:28" x14ac:dyDescent="0.3">
      <c r="G37" s="1" t="str">
        <f t="shared" si="15"/>
        <v>Собственный капитал</v>
      </c>
      <c r="H37" s="1" t="s">
        <v>25</v>
      </c>
      <c r="R37" s="13"/>
      <c r="U37" s="2">
        <f t="shared" ref="U37:AB37" si="18">IF(U$3=1,$R37,T225)</f>
        <v>0</v>
      </c>
      <c r="V37" s="2">
        <f t="shared" si="18"/>
        <v>0</v>
      </c>
      <c r="W37" s="2">
        <f t="shared" si="18"/>
        <v>0</v>
      </c>
      <c r="X37" s="2">
        <f t="shared" si="18"/>
        <v>0</v>
      </c>
      <c r="Y37" s="2">
        <f t="shared" si="18"/>
        <v>0</v>
      </c>
      <c r="Z37" s="2">
        <f t="shared" si="18"/>
        <v>0</v>
      </c>
      <c r="AA37" s="2">
        <f t="shared" si="18"/>
        <v>0</v>
      </c>
      <c r="AB37" s="2">
        <f t="shared" si="18"/>
        <v>0</v>
      </c>
    </row>
    <row r="38" spans="2:28" x14ac:dyDescent="0.3">
      <c r="G38" s="1" t="str">
        <f t="shared" si="15"/>
        <v>Собственный капитал</v>
      </c>
      <c r="H38" s="1" t="s">
        <v>26</v>
      </c>
      <c r="R38" s="13"/>
      <c r="U38" s="2">
        <f t="shared" ref="U38:AB38" si="19">IF(U$3=1,$R38,T226)</f>
        <v>0</v>
      </c>
      <c r="V38" s="2">
        <f t="shared" si="19"/>
        <v>0</v>
      </c>
      <c r="W38" s="2">
        <f t="shared" si="19"/>
        <v>0</v>
      </c>
      <c r="X38" s="2">
        <f t="shared" si="19"/>
        <v>0</v>
      </c>
      <c r="Y38" s="2">
        <f t="shared" si="19"/>
        <v>0</v>
      </c>
      <c r="Z38" s="2">
        <f t="shared" si="19"/>
        <v>0</v>
      </c>
      <c r="AA38" s="2">
        <f t="shared" si="19"/>
        <v>0</v>
      </c>
      <c r="AB38" s="2">
        <f t="shared" si="19"/>
        <v>0</v>
      </c>
    </row>
    <row r="39" spans="2:28" x14ac:dyDescent="0.3">
      <c r="G39" s="1" t="s">
        <v>27</v>
      </c>
      <c r="R39" s="34">
        <f>SUM(R40:R42)</f>
        <v>0</v>
      </c>
      <c r="U39" s="2">
        <f t="shared" ref="U39:AB39" si="20">IF(U$3=1,$R39,T227)</f>
        <v>0</v>
      </c>
      <c r="V39" s="2">
        <f t="shared" ca="1" si="20"/>
        <v>11150000</v>
      </c>
      <c r="W39" s="2">
        <f t="shared" ca="1" si="20"/>
        <v>10550000</v>
      </c>
      <c r="X39" s="2">
        <f t="shared" ca="1" si="20"/>
        <v>4600000</v>
      </c>
      <c r="Y39" s="2">
        <f t="shared" ca="1" si="20"/>
        <v>1100000</v>
      </c>
      <c r="Z39" s="2">
        <f t="shared" ca="1" si="20"/>
        <v>15260000</v>
      </c>
      <c r="AA39" s="2">
        <f t="shared" ca="1" si="20"/>
        <v>11250000</v>
      </c>
      <c r="AB39" s="2">
        <f t="shared" ca="1" si="20"/>
        <v>10450000</v>
      </c>
    </row>
    <row r="40" spans="2:28" s="4" customFormat="1" ht="12" x14ac:dyDescent="0.25">
      <c r="B40" s="30"/>
      <c r="G40" s="31" t="str">
        <f>G39</f>
        <v>КЗ по капзатратам</v>
      </c>
      <c r="H40" s="4" t="str">
        <f>Lists!$H$8</f>
        <v>Производственные цеха</v>
      </c>
      <c r="R40" s="33"/>
      <c r="U40" s="33">
        <f>IF(U$3=1,$R40,T228)</f>
        <v>0</v>
      </c>
      <c r="V40" s="33">
        <f ca="1">IF(V$3=1,$R40,U228)</f>
        <v>9200000</v>
      </c>
      <c r="W40" s="33">
        <f ca="1">IF(W$3=1,$R40,V228)</f>
        <v>10200000</v>
      </c>
      <c r="X40" s="33">
        <f ca="1">IF(X$3=1,$R40,W228)</f>
        <v>700000</v>
      </c>
      <c r="Y40" s="33">
        <f ca="1">IF(Y$3=1,$R40,X228)</f>
        <v>0</v>
      </c>
      <c r="Z40" s="33">
        <f ca="1">IF(Z$3=1,$R40,Y228)</f>
        <v>9200000</v>
      </c>
      <c r="AA40" s="33">
        <f ca="1">IF(AA$3=1,$R40,Z228)</f>
        <v>10200000</v>
      </c>
      <c r="AB40" s="33">
        <f ca="1">IF(AB$3=1,$R40,AA228)</f>
        <v>700000</v>
      </c>
    </row>
    <row r="41" spans="2:28" s="4" customFormat="1" ht="12" x14ac:dyDescent="0.25">
      <c r="B41" s="30"/>
      <c r="G41" s="31" t="str">
        <f>G39</f>
        <v>КЗ по капзатратам</v>
      </c>
      <c r="H41" s="4" t="str">
        <f>Lists!$H$9</f>
        <v>Торговые точки</v>
      </c>
      <c r="R41" s="33"/>
      <c r="U41" s="33">
        <f>IF(U$3=1,$R41,T229)</f>
        <v>0</v>
      </c>
      <c r="V41" s="33">
        <f ca="1">IF(V$3=1,$R41,U229)</f>
        <v>1950000</v>
      </c>
      <c r="W41" s="33">
        <f ca="1">IF(W$3=1,$R41,V229)</f>
        <v>350000</v>
      </c>
      <c r="X41" s="33">
        <f ca="1">IF(X$3=1,$R41,W229)</f>
        <v>3900000</v>
      </c>
      <c r="Y41" s="33">
        <f ca="1">IF(Y$3=1,$R41,X229)</f>
        <v>700000</v>
      </c>
      <c r="Z41" s="33">
        <f ca="1">IF(Z$3=1,$R41,Y229)</f>
        <v>5850000</v>
      </c>
      <c r="AA41" s="33">
        <f ca="1">IF(AA$3=1,$R41,Z229)</f>
        <v>1050000</v>
      </c>
      <c r="AB41" s="33">
        <f ca="1">IF(AB$3=1,$R41,AA229)</f>
        <v>9750000</v>
      </c>
    </row>
    <row r="42" spans="2:28" s="4" customFormat="1" ht="12" x14ac:dyDescent="0.25">
      <c r="B42" s="30"/>
      <c r="G42" s="31" t="str">
        <f>G39</f>
        <v>КЗ по капзатратам</v>
      </c>
      <c r="H42" s="4" t="str">
        <f>Lists!$H$10</f>
        <v>Инфраструктура для e-Comm</v>
      </c>
      <c r="R42" s="33"/>
      <c r="U42" s="33">
        <f>IF(U$3=1,$R42,T230)</f>
        <v>0</v>
      </c>
      <c r="V42" s="33">
        <f ca="1">IF(V$3=1,$R42,U230)</f>
        <v>0</v>
      </c>
      <c r="W42" s="33">
        <f ca="1">IF(W$3=1,$R42,V230)</f>
        <v>0</v>
      </c>
      <c r="X42" s="33">
        <f ca="1">IF(X$3=1,$R42,W230)</f>
        <v>0</v>
      </c>
      <c r="Y42" s="33">
        <f ca="1">IF(Y$3=1,$R42,X230)</f>
        <v>400000</v>
      </c>
      <c r="Z42" s="33">
        <f ca="1">IF(Z$3=1,$R42,Y230)</f>
        <v>210000.00000000006</v>
      </c>
      <c r="AA42" s="33">
        <f ca="1">IF(AA$3=1,$R42,Z230)</f>
        <v>5.8207660913467407E-11</v>
      </c>
      <c r="AB42" s="33">
        <f ca="1">IF(AB$3=1,$R42,AA230)</f>
        <v>5.8207660913467407E-11</v>
      </c>
    </row>
    <row r="43" spans="2:28" x14ac:dyDescent="0.3">
      <c r="G43" s="1" t="s">
        <v>28</v>
      </c>
      <c r="R43" s="13"/>
      <c r="U43" s="2">
        <f t="shared" ref="U43:AB43" si="21">IF(U$3=1,$R43,T231)</f>
        <v>0</v>
      </c>
      <c r="V43" s="2">
        <f t="shared" si="21"/>
        <v>0</v>
      </c>
      <c r="W43" s="2">
        <f t="shared" si="21"/>
        <v>0</v>
      </c>
      <c r="X43" s="2">
        <f t="shared" si="21"/>
        <v>0</v>
      </c>
      <c r="Y43" s="2">
        <f t="shared" si="21"/>
        <v>0</v>
      </c>
      <c r="Z43" s="2">
        <f t="shared" si="21"/>
        <v>0</v>
      </c>
      <c r="AA43" s="2">
        <f t="shared" si="21"/>
        <v>0</v>
      </c>
      <c r="AB43" s="2">
        <f t="shared" si="21"/>
        <v>0</v>
      </c>
    </row>
    <row r="44" spans="2:28" x14ac:dyDescent="0.3">
      <c r="G44" s="1" t="s">
        <v>29</v>
      </c>
      <c r="R44" s="13"/>
      <c r="U44" s="2">
        <f t="shared" ref="U44:AB44" si="22">IF(U$3=1,$R44,T232)</f>
        <v>0</v>
      </c>
      <c r="V44" s="2">
        <f t="shared" si="22"/>
        <v>0</v>
      </c>
      <c r="W44" s="2">
        <f t="shared" si="22"/>
        <v>0</v>
      </c>
      <c r="X44" s="2">
        <f t="shared" si="22"/>
        <v>35000</v>
      </c>
      <c r="Y44" s="2">
        <f t="shared" si="22"/>
        <v>0</v>
      </c>
      <c r="Z44" s="2">
        <f t="shared" si="22"/>
        <v>0</v>
      </c>
      <c r="AA44" s="2">
        <f t="shared" si="22"/>
        <v>0</v>
      </c>
      <c r="AB44" s="2">
        <f t="shared" si="22"/>
        <v>0</v>
      </c>
    </row>
    <row r="45" spans="2:28" x14ac:dyDescent="0.3">
      <c r="G45" s="1" t="s">
        <v>30</v>
      </c>
      <c r="R45" s="13"/>
      <c r="U45" s="2">
        <f t="shared" ref="U45:AB45" si="23">IF(U$3=1,$R45,T233)</f>
        <v>0</v>
      </c>
      <c r="V45" s="2">
        <f t="shared" si="23"/>
        <v>0</v>
      </c>
      <c r="W45" s="2">
        <f t="shared" si="23"/>
        <v>0</v>
      </c>
      <c r="X45" s="2">
        <f t="shared" si="23"/>
        <v>0</v>
      </c>
      <c r="Y45" s="2">
        <f t="shared" si="23"/>
        <v>0</v>
      </c>
      <c r="Z45" s="2">
        <f t="shared" si="23"/>
        <v>0</v>
      </c>
      <c r="AA45" s="2">
        <f t="shared" si="23"/>
        <v>0</v>
      </c>
      <c r="AB45" s="2">
        <f t="shared" si="23"/>
        <v>0</v>
      </c>
    </row>
    <row r="46" spans="2:28" x14ac:dyDescent="0.3">
      <c r="G46" s="1" t="s">
        <v>31</v>
      </c>
      <c r="R46" s="13"/>
      <c r="U46" s="2">
        <f t="shared" ref="U46:AB46" si="24">IF(U$3=1,$R46,T234)</f>
        <v>0</v>
      </c>
      <c r="V46" s="2">
        <f t="shared" si="24"/>
        <v>0</v>
      </c>
      <c r="W46" s="2">
        <f t="shared" si="24"/>
        <v>0</v>
      </c>
      <c r="X46" s="2">
        <f t="shared" si="24"/>
        <v>0</v>
      </c>
      <c r="Y46" s="2">
        <f t="shared" si="24"/>
        <v>0</v>
      </c>
      <c r="Z46" s="2">
        <f t="shared" si="24"/>
        <v>0</v>
      </c>
      <c r="AA46" s="2">
        <f t="shared" si="24"/>
        <v>0</v>
      </c>
      <c r="AB46" s="2">
        <f t="shared" si="24"/>
        <v>0</v>
      </c>
    </row>
    <row r="47" spans="2:28" x14ac:dyDescent="0.3">
      <c r="G47" s="1" t="s">
        <v>32</v>
      </c>
      <c r="R47" s="13"/>
      <c r="U47" s="2">
        <f t="shared" ref="U47:AB47" si="25">IF(U$3=1,$R47,T235)</f>
        <v>0</v>
      </c>
      <c r="V47" s="2">
        <f t="shared" si="25"/>
        <v>0</v>
      </c>
      <c r="W47" s="2">
        <f t="shared" si="25"/>
        <v>0</v>
      </c>
      <c r="X47" s="2">
        <f t="shared" si="25"/>
        <v>0</v>
      </c>
      <c r="Y47" s="2">
        <f t="shared" si="25"/>
        <v>0</v>
      </c>
      <c r="Z47" s="2">
        <f t="shared" si="25"/>
        <v>0</v>
      </c>
      <c r="AA47" s="2">
        <f t="shared" si="25"/>
        <v>0</v>
      </c>
      <c r="AB47" s="2">
        <f t="shared" si="25"/>
        <v>0</v>
      </c>
    </row>
    <row r="48" spans="2:28" x14ac:dyDescent="0.3">
      <c r="G48" s="1" t="s">
        <v>33</v>
      </c>
      <c r="R48" s="13"/>
      <c r="U48" s="2">
        <f t="shared" ref="U48:AB48" si="26">IF(U$3=1,$R48,T236)</f>
        <v>0</v>
      </c>
      <c r="V48" s="2">
        <f t="shared" si="26"/>
        <v>0</v>
      </c>
      <c r="W48" s="2">
        <f t="shared" si="26"/>
        <v>0</v>
      </c>
      <c r="X48" s="2">
        <f t="shared" si="26"/>
        <v>0</v>
      </c>
      <c r="Y48" s="2">
        <f t="shared" si="26"/>
        <v>0</v>
      </c>
      <c r="Z48" s="2">
        <f t="shared" si="26"/>
        <v>0</v>
      </c>
      <c r="AA48" s="2">
        <f t="shared" si="26"/>
        <v>0</v>
      </c>
      <c r="AB48" s="2">
        <f t="shared" si="26"/>
        <v>0</v>
      </c>
    </row>
    <row r="49" spans="2:28" x14ac:dyDescent="0.3">
      <c r="G49" s="1" t="s">
        <v>34</v>
      </c>
      <c r="R49" s="13"/>
      <c r="U49" s="2">
        <f t="shared" ref="U49:AB49" si="27">IF(U$3=1,$R49,T237)</f>
        <v>0</v>
      </c>
      <c r="V49" s="2">
        <f t="shared" si="27"/>
        <v>0</v>
      </c>
      <c r="W49" s="2">
        <f t="shared" si="27"/>
        <v>0</v>
      </c>
      <c r="X49" s="2">
        <f t="shared" si="27"/>
        <v>0</v>
      </c>
      <c r="Y49" s="2">
        <f t="shared" si="27"/>
        <v>0</v>
      </c>
      <c r="Z49" s="2">
        <f t="shared" si="27"/>
        <v>0</v>
      </c>
      <c r="AA49" s="2">
        <f t="shared" si="27"/>
        <v>0</v>
      </c>
      <c r="AB49" s="2">
        <f t="shared" si="27"/>
        <v>0</v>
      </c>
    </row>
    <row r="50" spans="2:28" x14ac:dyDescent="0.3">
      <c r="G50" s="1" t="s">
        <v>35</v>
      </c>
      <c r="R50" s="13"/>
      <c r="U50" s="2">
        <f t="shared" ref="U50:AB50" si="28">IF(U$3=1,$R50,T238)</f>
        <v>0</v>
      </c>
      <c r="V50" s="2">
        <f t="shared" si="28"/>
        <v>0</v>
      </c>
      <c r="W50" s="2">
        <f t="shared" si="28"/>
        <v>0</v>
      </c>
      <c r="X50" s="2">
        <f t="shared" si="28"/>
        <v>0</v>
      </c>
      <c r="Y50" s="2">
        <f t="shared" si="28"/>
        <v>0</v>
      </c>
      <c r="Z50" s="2">
        <f t="shared" si="28"/>
        <v>0</v>
      </c>
      <c r="AA50" s="2">
        <f t="shared" si="28"/>
        <v>0</v>
      </c>
      <c r="AB50" s="2">
        <f t="shared" si="28"/>
        <v>0</v>
      </c>
    </row>
    <row r="51" spans="2:28" x14ac:dyDescent="0.3">
      <c r="G51" s="1" t="s">
        <v>36</v>
      </c>
      <c r="R51" s="13"/>
      <c r="U51" s="2">
        <f t="shared" ref="U51:AB51" si="29">IF(U$3=1,$R51,T239)</f>
        <v>0</v>
      </c>
      <c r="V51" s="2">
        <f t="shared" si="29"/>
        <v>0</v>
      </c>
      <c r="W51" s="2">
        <f t="shared" si="29"/>
        <v>0</v>
      </c>
      <c r="X51" s="2">
        <f t="shared" si="29"/>
        <v>0</v>
      </c>
      <c r="Y51" s="2">
        <f t="shared" si="29"/>
        <v>0</v>
      </c>
      <c r="Z51" s="2">
        <f t="shared" si="29"/>
        <v>0</v>
      </c>
      <c r="AA51" s="2">
        <f t="shared" si="29"/>
        <v>0</v>
      </c>
      <c r="AB51" s="2">
        <f t="shared" si="29"/>
        <v>0</v>
      </c>
    </row>
    <row r="52" spans="2:28" x14ac:dyDescent="0.3">
      <c r="G52" s="1" t="s">
        <v>38</v>
      </c>
      <c r="R52" s="13"/>
      <c r="U52" s="2">
        <f t="shared" ref="U52:AB52" si="30">IF(U$3=1,$R52,T240)</f>
        <v>0</v>
      </c>
      <c r="V52" s="2">
        <f t="shared" si="30"/>
        <v>0</v>
      </c>
      <c r="W52" s="2">
        <f t="shared" si="30"/>
        <v>0</v>
      </c>
      <c r="X52" s="2">
        <f t="shared" si="30"/>
        <v>0</v>
      </c>
      <c r="Y52" s="2">
        <f t="shared" si="30"/>
        <v>0</v>
      </c>
      <c r="Z52" s="2">
        <f t="shared" si="30"/>
        <v>0</v>
      </c>
      <c r="AA52" s="2">
        <f t="shared" si="30"/>
        <v>0</v>
      </c>
      <c r="AB52" s="2">
        <f t="shared" si="30"/>
        <v>0</v>
      </c>
    </row>
    <row r="53" spans="2:28" x14ac:dyDescent="0.3">
      <c r="G53" s="1" t="s">
        <v>37</v>
      </c>
      <c r="R53" s="13"/>
      <c r="U53" s="2">
        <f t="shared" ref="U53:AB53" si="31">IF(U$3=1,$R53,T241)</f>
        <v>0</v>
      </c>
      <c r="V53" s="2">
        <f t="shared" si="31"/>
        <v>0</v>
      </c>
      <c r="W53" s="2">
        <f t="shared" si="31"/>
        <v>0</v>
      </c>
      <c r="X53" s="2">
        <f t="shared" si="31"/>
        <v>0</v>
      </c>
      <c r="Y53" s="2">
        <f t="shared" si="31"/>
        <v>0</v>
      </c>
      <c r="Z53" s="2">
        <f t="shared" si="31"/>
        <v>0</v>
      </c>
      <c r="AA53" s="2">
        <f t="shared" si="31"/>
        <v>0</v>
      </c>
      <c r="AB53" s="2">
        <f t="shared" si="31"/>
        <v>0</v>
      </c>
    </row>
    <row r="54" spans="2:28" x14ac:dyDescent="0.3">
      <c r="G54" s="1" t="s">
        <v>39</v>
      </c>
      <c r="R54" s="13"/>
      <c r="U54" s="2">
        <f t="shared" ref="U54:AB54" si="32">IF(U$3=1,$R54,T242)</f>
        <v>0</v>
      </c>
      <c r="V54" s="2">
        <f t="shared" si="32"/>
        <v>0</v>
      </c>
      <c r="W54" s="2">
        <f t="shared" ca="1" si="32"/>
        <v>0</v>
      </c>
      <c r="X54" s="2">
        <f t="shared" ca="1" si="32"/>
        <v>2916.6666666666665</v>
      </c>
      <c r="Y54" s="2">
        <f t="shared" ca="1" si="32"/>
        <v>50784.722222222219</v>
      </c>
      <c r="Z54" s="2">
        <f t="shared" ca="1" si="32"/>
        <v>103901.78571428571</v>
      </c>
      <c r="AA54" s="2">
        <f t="shared" ca="1" si="32"/>
        <v>156337.3015873016</v>
      </c>
      <c r="AB54" s="2">
        <f t="shared" ca="1" si="32"/>
        <v>216841.26984126985</v>
      </c>
    </row>
    <row r="55" spans="2:28" x14ac:dyDescent="0.3">
      <c r="G55" s="1" t="s">
        <v>40</v>
      </c>
      <c r="R55" s="13"/>
      <c r="U55" s="2">
        <f t="shared" ref="U55:AB55" si="33">IF(U$3=1,$R55,T243)</f>
        <v>0</v>
      </c>
      <c r="V55" s="2">
        <f t="shared" si="33"/>
        <v>0</v>
      </c>
      <c r="W55" s="2">
        <f t="shared" si="33"/>
        <v>0</v>
      </c>
      <c r="X55" s="2">
        <f t="shared" si="33"/>
        <v>0</v>
      </c>
      <c r="Y55" s="2">
        <f t="shared" si="33"/>
        <v>0</v>
      </c>
      <c r="Z55" s="2">
        <f t="shared" si="33"/>
        <v>0</v>
      </c>
      <c r="AA55" s="2">
        <f t="shared" si="33"/>
        <v>0</v>
      </c>
      <c r="AB55" s="2">
        <f t="shared" si="33"/>
        <v>0</v>
      </c>
    </row>
    <row r="56" spans="2:28" ht="4.95" customHeight="1" x14ac:dyDescent="0.3"/>
    <row r="58" spans="2:28" s="7" customFormat="1" x14ac:dyDescent="0.3">
      <c r="B58" s="24"/>
      <c r="E58" s="7" t="s">
        <v>46</v>
      </c>
      <c r="R58" s="3"/>
      <c r="U58" s="3"/>
      <c r="V58" s="3"/>
      <c r="W58" s="3"/>
      <c r="X58" s="3"/>
      <c r="Y58" s="3"/>
      <c r="Z58" s="3"/>
      <c r="AA58" s="3"/>
      <c r="AB58" s="3"/>
    </row>
    <row r="59" spans="2:28" x14ac:dyDescent="0.3">
      <c r="G59" s="1" t="s">
        <v>47</v>
      </c>
      <c r="R59" s="3">
        <f ca="1">SUM($T59:INDIRECT(ADDRESS(ROW(),SUMIFS($1:$1,$3:$3,MAX($3:$3)))))</f>
        <v>50000000</v>
      </c>
      <c r="U59" s="26">
        <v>50000000</v>
      </c>
      <c r="V59" s="26"/>
      <c r="W59" s="26"/>
      <c r="X59" s="26"/>
      <c r="Y59" s="26"/>
      <c r="Z59" s="26"/>
      <c r="AA59" s="26"/>
      <c r="AB59" s="26"/>
    </row>
    <row r="60" spans="2:28" x14ac:dyDescent="0.3">
      <c r="G60" s="1" t="s">
        <v>48</v>
      </c>
      <c r="R60" s="3">
        <f ca="1">SUM($T60:INDIRECT(ADDRESS(ROW(),SUMIFS($1:$1,$3:$3,MAX($3:$3)))))</f>
        <v>0</v>
      </c>
      <c r="U60" s="26"/>
      <c r="V60" s="26"/>
      <c r="W60" s="26"/>
      <c r="X60" s="26"/>
      <c r="Y60" s="26"/>
      <c r="Z60" s="26"/>
      <c r="AA60" s="26"/>
      <c r="AB60" s="26"/>
    </row>
    <row r="61" spans="2:28" x14ac:dyDescent="0.3">
      <c r="G61" s="1" t="s">
        <v>49</v>
      </c>
      <c r="R61" s="3">
        <f ca="1">SUM($T61:INDIRECT(ADDRESS(ROW(),SUMIFS($1:$1,$3:$3,MAX($3:$3)))))</f>
        <v>0</v>
      </c>
      <c r="U61" s="26"/>
      <c r="V61" s="26"/>
      <c r="W61" s="26"/>
      <c r="X61" s="26"/>
      <c r="Y61" s="26"/>
      <c r="Z61" s="26"/>
      <c r="AA61" s="26"/>
      <c r="AB61" s="26"/>
    </row>
    <row r="62" spans="2:28" x14ac:dyDescent="0.3">
      <c r="G62" s="1" t="s">
        <v>50</v>
      </c>
      <c r="R62" s="3">
        <f ca="1">SUM($T62:INDIRECT(ADDRESS(ROW(),SUMIFS($1:$1,$3:$3,MAX($3:$3)))))</f>
        <v>0</v>
      </c>
      <c r="U62" s="26"/>
      <c r="V62" s="26"/>
      <c r="W62" s="26"/>
      <c r="X62" s="26"/>
      <c r="Y62" s="26"/>
      <c r="Z62" s="26"/>
      <c r="AA62" s="26"/>
      <c r="AB62" s="26"/>
    </row>
    <row r="63" spans="2:28" x14ac:dyDescent="0.3">
      <c r="G63" s="1" t="s">
        <v>51</v>
      </c>
      <c r="R63" s="3">
        <f ca="1">SUM($T63:INDIRECT(ADDRESS(ROW(),SUMIFS($1:$1,$3:$3,MAX($3:$3)))))</f>
        <v>0</v>
      </c>
      <c r="U63" s="26"/>
      <c r="V63" s="26"/>
      <c r="W63" s="26"/>
      <c r="X63" s="26"/>
      <c r="Y63" s="26"/>
      <c r="Z63" s="26"/>
      <c r="AA63" s="26"/>
      <c r="AB63" s="26"/>
    </row>
    <row r="64" spans="2:28" x14ac:dyDescent="0.3">
      <c r="G64" s="1" t="s">
        <v>52</v>
      </c>
      <c r="R64" s="3">
        <f ca="1">SUM($T64:INDIRECT(ADDRESS(ROW(),SUMIFS($1:$1,$3:$3,MAX($3:$3)))))</f>
        <v>0</v>
      </c>
      <c r="U64" s="26"/>
      <c r="V64" s="26"/>
      <c r="W64" s="26"/>
      <c r="X64" s="26"/>
      <c r="Y64" s="26"/>
      <c r="Z64" s="26"/>
      <c r="AA64" s="26"/>
      <c r="AB64" s="26"/>
    </row>
    <row r="65" spans="2:28" x14ac:dyDescent="0.3">
      <c r="G65" s="1" t="s">
        <v>53</v>
      </c>
      <c r="R65" s="3">
        <f ca="1">SUM($T65:INDIRECT(ADDRESS(ROW(),SUMIFS($1:$1,$3:$3,MAX($3:$3)))))</f>
        <v>0</v>
      </c>
      <c r="U65" s="26"/>
      <c r="V65" s="26"/>
      <c r="W65" s="26"/>
      <c r="X65" s="26"/>
      <c r="Y65" s="26"/>
      <c r="Z65" s="26"/>
      <c r="AA65" s="26"/>
      <c r="AB65" s="26"/>
    </row>
    <row r="66" spans="2:28" x14ac:dyDescent="0.3">
      <c r="G66" s="1" t="s">
        <v>54</v>
      </c>
      <c r="R66" s="3">
        <f ca="1">SUM($T66:INDIRECT(ADDRESS(ROW(),SUMIFS($1:$1,$3:$3,MAX($3:$3)))))</f>
        <v>0</v>
      </c>
      <c r="U66" s="26"/>
      <c r="V66" s="26"/>
      <c r="W66" s="26"/>
      <c r="X66" s="26"/>
      <c r="Y66" s="26"/>
      <c r="Z66" s="26"/>
      <c r="AA66" s="26"/>
      <c r="AB66" s="26"/>
    </row>
    <row r="67" spans="2:28" x14ac:dyDescent="0.3">
      <c r="G67" s="1" t="s">
        <v>55</v>
      </c>
      <c r="R67" s="3">
        <f ca="1">SUM($T67:INDIRECT(ADDRESS(ROW(),SUMIFS($1:$1,$3:$3,MAX($3:$3)))))</f>
        <v>111500000</v>
      </c>
      <c r="U67" s="26">
        <f ca="1">SUM(U68:U70)</f>
        <v>23000000</v>
      </c>
      <c r="V67" s="26">
        <f t="shared" ref="V67" ca="1" si="34">SUM(V68:V70)</f>
        <v>15500000</v>
      </c>
      <c r="W67" s="26">
        <f t="shared" ref="W67" ca="1" si="35">SUM(W68:W70)</f>
        <v>7000000</v>
      </c>
      <c r="X67" s="26">
        <f t="shared" ref="X67" ca="1" si="36">SUM(X68:X70)</f>
        <v>1700000</v>
      </c>
      <c r="Y67" s="26">
        <f t="shared" ref="Y67" ca="1" si="37">SUM(Y68:Y70)</f>
        <v>29300000</v>
      </c>
      <c r="Z67" s="26">
        <f t="shared" ref="Z67" ca="1" si="38">SUM(Z68:Z70)</f>
        <v>16500000</v>
      </c>
      <c r="AA67" s="26">
        <f t="shared" ref="AA67" ca="1" si="39">SUM(AA68:AA70)</f>
        <v>16000000</v>
      </c>
      <c r="AB67" s="26">
        <f t="shared" ref="AB67" ca="1" si="40">SUM(AB68:AB70)</f>
        <v>2500000</v>
      </c>
    </row>
    <row r="68" spans="2:28" s="4" customFormat="1" ht="12" x14ac:dyDescent="0.25">
      <c r="B68" s="30"/>
      <c r="G68" s="31" t="str">
        <f>G67</f>
        <v>Капзатраты</v>
      </c>
      <c r="H68" s="4" t="str">
        <f>Lists!$H$8</f>
        <v>Производственные цеха</v>
      </c>
      <c r="R68" s="32">
        <f ca="1">SUM($T68:INDIRECT(ADDRESS(ROW(),SUMIFS($1:$1,$3:$3,MAX($3:$3)))))</f>
        <v>72000000</v>
      </c>
      <c r="U68" s="33">
        <f ca="1">SUMIFS(CAPEX!U:U,CAPEX!$G:$G,$G68,CAPEX!$H:$H,$H68)</f>
        <v>20000000</v>
      </c>
      <c r="V68" s="33">
        <f ca="1">SUMIFS(CAPEX!V:V,CAPEX!$G:$G,$G68,CAPEX!$H:$H,$H68)</f>
        <v>15000000</v>
      </c>
      <c r="W68" s="33">
        <f ca="1">SUMIFS(CAPEX!W:W,CAPEX!$G:$G,$G68,CAPEX!$H:$H,$H68)</f>
        <v>1000000</v>
      </c>
      <c r="X68" s="33">
        <f ca="1">SUMIFS(CAPEX!X:X,CAPEX!$G:$G,$G68,CAPEX!$H:$H,$H68)</f>
        <v>0</v>
      </c>
      <c r="Y68" s="33">
        <f ca="1">SUMIFS(CAPEX!Y:Y,CAPEX!$G:$G,$G68,CAPEX!$H:$H,$H68)</f>
        <v>20000000</v>
      </c>
      <c r="Z68" s="33">
        <f ca="1">SUMIFS(CAPEX!Z:Z,CAPEX!$G:$G,$G68,CAPEX!$H:$H,$H68)</f>
        <v>15000000</v>
      </c>
      <c r="AA68" s="33">
        <f ca="1">SUMIFS(CAPEX!AA:AA,CAPEX!$G:$G,$G68,CAPEX!$H:$H,$H68)</f>
        <v>1000000</v>
      </c>
      <c r="AB68" s="33">
        <f ca="1">SUMIFS(CAPEX!AB:AB,CAPEX!$G:$G,$G68,CAPEX!$H:$H,$H68)</f>
        <v>0</v>
      </c>
    </row>
    <row r="69" spans="2:28" s="4" customFormat="1" ht="12" x14ac:dyDescent="0.25">
      <c r="B69" s="30"/>
      <c r="G69" s="31" t="str">
        <f>G67</f>
        <v>Капзатраты</v>
      </c>
      <c r="H69" s="4" t="str">
        <f>Lists!$H$9</f>
        <v>Торговые точки</v>
      </c>
      <c r="R69" s="32">
        <f ca="1">SUM($T69:INDIRECT(ADDRESS(ROW(),SUMIFS($1:$1,$3:$3,MAX($3:$3)))))</f>
        <v>38500000</v>
      </c>
      <c r="U69" s="33">
        <f ca="1">SUMIFS(CAPEX!U:U,CAPEX!$G:$G,$G69,CAPEX!$H:$H,$H69)</f>
        <v>3000000</v>
      </c>
      <c r="V69" s="33">
        <f ca="1">SUMIFS(CAPEX!V:V,CAPEX!$G:$G,$G69,CAPEX!$H:$H,$H69)</f>
        <v>500000</v>
      </c>
      <c r="W69" s="33">
        <f ca="1">SUMIFS(CAPEX!W:W,CAPEX!$G:$G,$G69,CAPEX!$H:$H,$H69)</f>
        <v>6000000</v>
      </c>
      <c r="X69" s="33">
        <f ca="1">SUMIFS(CAPEX!X:X,CAPEX!$G:$G,$G69,CAPEX!$H:$H,$H69)</f>
        <v>1000000</v>
      </c>
      <c r="Y69" s="33">
        <f ca="1">SUMIFS(CAPEX!Y:Y,CAPEX!$G:$G,$G69,CAPEX!$H:$H,$H69)</f>
        <v>9000000</v>
      </c>
      <c r="Z69" s="33">
        <f ca="1">SUMIFS(CAPEX!Z:Z,CAPEX!$G:$G,$G69,CAPEX!$H:$H,$H69)</f>
        <v>1500000</v>
      </c>
      <c r="AA69" s="33">
        <f ca="1">SUMIFS(CAPEX!AA:AA,CAPEX!$G:$G,$G69,CAPEX!$H:$H,$H69)</f>
        <v>15000000</v>
      </c>
      <c r="AB69" s="33">
        <f ca="1">SUMIFS(CAPEX!AB:AB,CAPEX!$G:$G,$G69,CAPEX!$H:$H,$H69)</f>
        <v>2500000</v>
      </c>
    </row>
    <row r="70" spans="2:28" s="4" customFormat="1" ht="12" x14ac:dyDescent="0.25">
      <c r="B70" s="30"/>
      <c r="G70" s="31" t="str">
        <f>G67</f>
        <v>Капзатраты</v>
      </c>
      <c r="H70" s="4" t="str">
        <f>Lists!$H$10</f>
        <v>Инфраструктура для e-Comm</v>
      </c>
      <c r="R70" s="32">
        <f ca="1">SUM($T70:INDIRECT(ADDRESS(ROW(),SUMIFS($1:$1,$3:$3,MAX($3:$3)))))</f>
        <v>1000000</v>
      </c>
      <c r="U70" s="33">
        <f ca="1">SUMIFS(CAPEX!U:U,CAPEX!$G:$G,$G70,CAPEX!$H:$H,$H70)</f>
        <v>0</v>
      </c>
      <c r="V70" s="33">
        <f ca="1">SUMIFS(CAPEX!V:V,CAPEX!$G:$G,$G70,CAPEX!$H:$H,$H70)</f>
        <v>0</v>
      </c>
      <c r="W70" s="33">
        <f ca="1">SUMIFS(CAPEX!W:W,CAPEX!$G:$G,$G70,CAPEX!$H:$H,$H70)</f>
        <v>0</v>
      </c>
      <c r="X70" s="33">
        <f ca="1">SUMIFS(CAPEX!X:X,CAPEX!$G:$G,$G70,CAPEX!$H:$H,$H70)</f>
        <v>700000</v>
      </c>
      <c r="Y70" s="33">
        <f ca="1">SUMIFS(CAPEX!Y:Y,CAPEX!$G:$G,$G70,CAPEX!$H:$H,$H70)</f>
        <v>300000</v>
      </c>
      <c r="Z70" s="33">
        <f ca="1">SUMIFS(CAPEX!Z:Z,CAPEX!$G:$G,$G70,CAPEX!$H:$H,$H70)</f>
        <v>0</v>
      </c>
      <c r="AA70" s="33">
        <f ca="1">SUMIFS(CAPEX!AA:AA,CAPEX!$G:$G,$G70,CAPEX!$H:$H,$H70)</f>
        <v>0</v>
      </c>
      <c r="AB70" s="33">
        <f ca="1">SUMIFS(CAPEX!AB:AB,CAPEX!$G:$G,$G70,CAPEX!$H:$H,$H70)</f>
        <v>0</v>
      </c>
    </row>
    <row r="71" spans="2:28" x14ac:dyDescent="0.3">
      <c r="G71" s="1" t="s">
        <v>56</v>
      </c>
      <c r="R71" s="3">
        <f ca="1">SUM($T71:INDIRECT(ADDRESS(ROW(),SUMIFS($1:$1,$3:$3,MAX($3:$3)))))</f>
        <v>111500000</v>
      </c>
      <c r="U71" s="26">
        <f ca="1">SUM(U72:U74)</f>
        <v>0</v>
      </c>
      <c r="V71" s="26">
        <f t="shared" ref="V71" ca="1" si="41">SUM(V72:V74)</f>
        <v>3500000</v>
      </c>
      <c r="W71" s="26">
        <f t="shared" ref="W71" ca="1" si="42">SUM(W72:W74)</f>
        <v>36000000</v>
      </c>
      <c r="X71" s="26">
        <f t="shared" ref="X71" ca="1" si="43">SUM(X72:X74)</f>
        <v>7000000</v>
      </c>
      <c r="Y71" s="26">
        <f t="shared" ref="Y71" ca="1" si="44">SUM(Y72:Y74)</f>
        <v>1000000</v>
      </c>
      <c r="Z71" s="26">
        <f t="shared" ref="Z71" ca="1" si="45">SUM(Z72:Z74)</f>
        <v>10500000</v>
      </c>
      <c r="AA71" s="26">
        <f t="shared" ref="AA71" ca="1" si="46">SUM(AA72:AA74)</f>
        <v>36000000</v>
      </c>
      <c r="AB71" s="26">
        <f t="shared" ref="AB71" ca="1" si="47">SUM(AB72:AB74)</f>
        <v>17500000</v>
      </c>
    </row>
    <row r="72" spans="2:28" s="4" customFormat="1" ht="12" x14ac:dyDescent="0.25">
      <c r="B72" s="30"/>
      <c r="G72" s="31" t="str">
        <f>G71</f>
        <v>Ввод в эксплуатацию ОС</v>
      </c>
      <c r="H72" s="4" t="str">
        <f>Lists!$H$8</f>
        <v>Производственные цеха</v>
      </c>
      <c r="R72" s="32">
        <f ca="1">SUM($T72:INDIRECT(ADDRESS(ROW(),SUMIFS($1:$1,$3:$3,MAX($3:$3)))))</f>
        <v>72000000</v>
      </c>
      <c r="U72" s="33">
        <f ca="1">SUMIFS(CAPEX!U:U,CAPEX!$G:$G,$G72,CAPEX!$H:$H,$H72)</f>
        <v>0</v>
      </c>
      <c r="V72" s="33">
        <f ca="1">SUMIFS(CAPEX!V:V,CAPEX!$G:$G,$G72,CAPEX!$H:$H,$H72)</f>
        <v>0</v>
      </c>
      <c r="W72" s="33">
        <f ca="1">SUMIFS(CAPEX!W:W,CAPEX!$G:$G,$G72,CAPEX!$H:$H,$H72)</f>
        <v>36000000</v>
      </c>
      <c r="X72" s="33">
        <f ca="1">SUMIFS(CAPEX!X:X,CAPEX!$G:$G,$G72,CAPEX!$H:$H,$H72)</f>
        <v>0</v>
      </c>
      <c r="Y72" s="33">
        <f ca="1">SUMIFS(CAPEX!Y:Y,CAPEX!$G:$G,$G72,CAPEX!$H:$H,$H72)</f>
        <v>0</v>
      </c>
      <c r="Z72" s="33">
        <f ca="1">SUMIFS(CAPEX!Z:Z,CAPEX!$G:$G,$G72,CAPEX!$H:$H,$H72)</f>
        <v>0</v>
      </c>
      <c r="AA72" s="33">
        <f ca="1">SUMIFS(CAPEX!AA:AA,CAPEX!$G:$G,$G72,CAPEX!$H:$H,$H72)</f>
        <v>36000000</v>
      </c>
      <c r="AB72" s="33">
        <f ca="1">SUMIFS(CAPEX!AB:AB,CAPEX!$G:$G,$G72,CAPEX!$H:$H,$H72)</f>
        <v>0</v>
      </c>
    </row>
    <row r="73" spans="2:28" s="4" customFormat="1" ht="12" x14ac:dyDescent="0.25">
      <c r="B73" s="30"/>
      <c r="G73" s="31" t="str">
        <f>G71</f>
        <v>Ввод в эксплуатацию ОС</v>
      </c>
      <c r="H73" s="4" t="str">
        <f>Lists!$H$9</f>
        <v>Торговые точки</v>
      </c>
      <c r="R73" s="32">
        <f ca="1">SUM($T73:INDIRECT(ADDRESS(ROW(),SUMIFS($1:$1,$3:$3,MAX($3:$3)))))</f>
        <v>38500000</v>
      </c>
      <c r="U73" s="33">
        <f ca="1">SUMIFS(CAPEX!U:U,CAPEX!$G:$G,$G73,CAPEX!$H:$H,$H73)</f>
        <v>0</v>
      </c>
      <c r="V73" s="33">
        <f ca="1">SUMIFS(CAPEX!V:V,CAPEX!$G:$G,$G73,CAPEX!$H:$H,$H73)</f>
        <v>3500000</v>
      </c>
      <c r="W73" s="33">
        <f ca="1">SUMIFS(CAPEX!W:W,CAPEX!$G:$G,$G73,CAPEX!$H:$H,$H73)</f>
        <v>0</v>
      </c>
      <c r="X73" s="33">
        <f ca="1">SUMIFS(CAPEX!X:X,CAPEX!$G:$G,$G73,CAPEX!$H:$H,$H73)</f>
        <v>7000000</v>
      </c>
      <c r="Y73" s="33">
        <f ca="1">SUMIFS(CAPEX!Y:Y,CAPEX!$G:$G,$G73,CAPEX!$H:$H,$H73)</f>
        <v>0</v>
      </c>
      <c r="Z73" s="33">
        <f ca="1">SUMIFS(CAPEX!Z:Z,CAPEX!$G:$G,$G73,CAPEX!$H:$H,$H73)</f>
        <v>10500000</v>
      </c>
      <c r="AA73" s="33">
        <f ca="1">SUMIFS(CAPEX!AA:AA,CAPEX!$G:$G,$G73,CAPEX!$H:$H,$H73)</f>
        <v>0</v>
      </c>
      <c r="AB73" s="33">
        <f ca="1">SUMIFS(CAPEX!AB:AB,CAPEX!$G:$G,$G73,CAPEX!$H:$H,$H73)</f>
        <v>17500000</v>
      </c>
    </row>
    <row r="74" spans="2:28" s="4" customFormat="1" ht="12" x14ac:dyDescent="0.25">
      <c r="B74" s="30"/>
      <c r="G74" s="31" t="str">
        <f>G71</f>
        <v>Ввод в эксплуатацию ОС</v>
      </c>
      <c r="H74" s="4" t="str">
        <f>Lists!$H$10</f>
        <v>Инфраструктура для e-Comm</v>
      </c>
      <c r="R74" s="32">
        <f ca="1">SUM($T74:INDIRECT(ADDRESS(ROW(),SUMIFS($1:$1,$3:$3,MAX($3:$3)))))</f>
        <v>1000000</v>
      </c>
      <c r="U74" s="33">
        <f ca="1">SUMIFS(CAPEX!U:U,CAPEX!$G:$G,$G74,CAPEX!$H:$H,$H74)</f>
        <v>0</v>
      </c>
      <c r="V74" s="33">
        <f ca="1">SUMIFS(CAPEX!V:V,CAPEX!$G:$G,$G74,CAPEX!$H:$H,$H74)</f>
        <v>0</v>
      </c>
      <c r="W74" s="33">
        <f ca="1">SUMIFS(CAPEX!W:W,CAPEX!$G:$G,$G74,CAPEX!$H:$H,$H74)</f>
        <v>0</v>
      </c>
      <c r="X74" s="33">
        <f ca="1">SUMIFS(CAPEX!X:X,CAPEX!$G:$G,$G74,CAPEX!$H:$H,$H74)</f>
        <v>0</v>
      </c>
      <c r="Y74" s="33">
        <f ca="1">SUMIFS(CAPEX!Y:Y,CAPEX!$G:$G,$G74,CAPEX!$H:$H,$H74)</f>
        <v>1000000</v>
      </c>
      <c r="Z74" s="33">
        <f ca="1">SUMIFS(CAPEX!Z:Z,CAPEX!$G:$G,$G74,CAPEX!$H:$H,$H74)</f>
        <v>0</v>
      </c>
      <c r="AA74" s="33">
        <f ca="1">SUMIFS(CAPEX!AA:AA,CAPEX!$G:$G,$G74,CAPEX!$H:$H,$H74)</f>
        <v>0</v>
      </c>
      <c r="AB74" s="33">
        <f ca="1">SUMIFS(CAPEX!AB:AB,CAPEX!$G:$G,$G74,CAPEX!$H:$H,$H74)</f>
        <v>0</v>
      </c>
    </row>
    <row r="75" spans="2:28" x14ac:dyDescent="0.3">
      <c r="G75" s="1" t="s">
        <v>57</v>
      </c>
      <c r="R75" s="3">
        <f ca="1">SUM($T75:INDIRECT(ADDRESS(ROW(),SUMIFS($1:$1,$3:$3,MAX($3:$3)))))</f>
        <v>0</v>
      </c>
      <c r="U75" s="26">
        <f>SUM(U76:U78)</f>
        <v>0</v>
      </c>
      <c r="V75" s="26">
        <f t="shared" ref="V75" si="48">SUM(V76:V78)</f>
        <v>0</v>
      </c>
      <c r="W75" s="26">
        <f t="shared" ref="W75" si="49">SUM(W76:W78)</f>
        <v>0</v>
      </c>
      <c r="X75" s="26">
        <f t="shared" ref="X75" si="50">SUM(X76:X78)</f>
        <v>0</v>
      </c>
      <c r="Y75" s="26">
        <f t="shared" ref="Y75" si="51">SUM(Y76:Y78)</f>
        <v>0</v>
      </c>
      <c r="Z75" s="26">
        <f t="shared" ref="Z75" si="52">SUM(Z76:Z78)</f>
        <v>0</v>
      </c>
      <c r="AA75" s="26">
        <f t="shared" ref="AA75" si="53">SUM(AA76:AA78)</f>
        <v>0</v>
      </c>
      <c r="AB75" s="26">
        <f t="shared" ref="AB75" si="54">SUM(AB76:AB78)</f>
        <v>0</v>
      </c>
    </row>
    <row r="76" spans="2:28" s="4" customFormat="1" ht="12" x14ac:dyDescent="0.25">
      <c r="B76" s="30"/>
      <c r="G76" s="31" t="str">
        <f>G75</f>
        <v>Приобретение ОС</v>
      </c>
      <c r="H76" s="4" t="str">
        <f>Lists!$H$8</f>
        <v>Производственные цеха</v>
      </c>
      <c r="R76" s="32">
        <f ca="1">SUM($T76:INDIRECT(ADDRESS(ROW(),SUMIFS($1:$1,$3:$3,MAX($3:$3)))))</f>
        <v>0</v>
      </c>
      <c r="U76" s="33">
        <f>SUMIFS(CAPEX!U:U,CAPEX!$G:$G,$G76,CAPEX!$H:$H,$H76)</f>
        <v>0</v>
      </c>
      <c r="V76" s="33">
        <f>SUMIFS(CAPEX!V:V,CAPEX!$G:$G,$G76,CAPEX!$H:$H,$H76)</f>
        <v>0</v>
      </c>
      <c r="W76" s="33">
        <f>SUMIFS(CAPEX!W:W,CAPEX!$G:$G,$G76,CAPEX!$H:$H,$H76)</f>
        <v>0</v>
      </c>
      <c r="X76" s="33">
        <f>SUMIFS(CAPEX!X:X,CAPEX!$G:$G,$G76,CAPEX!$H:$H,$H76)</f>
        <v>0</v>
      </c>
      <c r="Y76" s="33">
        <f>SUMIFS(CAPEX!Y:Y,CAPEX!$G:$G,$G76,CAPEX!$H:$H,$H76)</f>
        <v>0</v>
      </c>
      <c r="Z76" s="33">
        <f>SUMIFS(CAPEX!Z:Z,CAPEX!$G:$G,$G76,CAPEX!$H:$H,$H76)</f>
        <v>0</v>
      </c>
      <c r="AA76" s="33">
        <f>SUMIFS(CAPEX!AA:AA,CAPEX!$G:$G,$G76,CAPEX!$H:$H,$H76)</f>
        <v>0</v>
      </c>
      <c r="AB76" s="33">
        <f>SUMIFS(CAPEX!AB:AB,CAPEX!$G:$G,$G76,CAPEX!$H:$H,$H76)</f>
        <v>0</v>
      </c>
    </row>
    <row r="77" spans="2:28" s="4" customFormat="1" ht="12" x14ac:dyDescent="0.25">
      <c r="B77" s="30"/>
      <c r="G77" s="31" t="str">
        <f>G75</f>
        <v>Приобретение ОС</v>
      </c>
      <c r="H77" s="4" t="str">
        <f>Lists!$H$9</f>
        <v>Торговые точки</v>
      </c>
      <c r="R77" s="32">
        <f ca="1">SUM($T77:INDIRECT(ADDRESS(ROW(),SUMIFS($1:$1,$3:$3,MAX($3:$3)))))</f>
        <v>0</v>
      </c>
      <c r="U77" s="33">
        <f>SUMIFS(CAPEX!U:U,CAPEX!$G:$G,$G77,CAPEX!$H:$H,$H77)</f>
        <v>0</v>
      </c>
      <c r="V77" s="33">
        <f>SUMIFS(CAPEX!V:V,CAPEX!$G:$G,$G77,CAPEX!$H:$H,$H77)</f>
        <v>0</v>
      </c>
      <c r="W77" s="33">
        <f>SUMIFS(CAPEX!W:W,CAPEX!$G:$G,$G77,CAPEX!$H:$H,$H77)</f>
        <v>0</v>
      </c>
      <c r="X77" s="33">
        <f>SUMIFS(CAPEX!X:X,CAPEX!$G:$G,$G77,CAPEX!$H:$H,$H77)</f>
        <v>0</v>
      </c>
      <c r="Y77" s="33">
        <f>SUMIFS(CAPEX!Y:Y,CAPEX!$G:$G,$G77,CAPEX!$H:$H,$H77)</f>
        <v>0</v>
      </c>
      <c r="Z77" s="33">
        <f>SUMIFS(CAPEX!Z:Z,CAPEX!$G:$G,$G77,CAPEX!$H:$H,$H77)</f>
        <v>0</v>
      </c>
      <c r="AA77" s="33">
        <f>SUMIFS(CAPEX!AA:AA,CAPEX!$G:$G,$G77,CAPEX!$H:$H,$H77)</f>
        <v>0</v>
      </c>
      <c r="AB77" s="33">
        <f>SUMIFS(CAPEX!AB:AB,CAPEX!$G:$G,$G77,CAPEX!$H:$H,$H77)</f>
        <v>0</v>
      </c>
    </row>
    <row r="78" spans="2:28" s="4" customFormat="1" ht="12" x14ac:dyDescent="0.25">
      <c r="B78" s="30"/>
      <c r="G78" s="31" t="str">
        <f>G75</f>
        <v>Приобретение ОС</v>
      </c>
      <c r="H78" s="4" t="str">
        <f>Lists!$H$10</f>
        <v>Инфраструктура для e-Comm</v>
      </c>
      <c r="R78" s="32">
        <f ca="1">SUM($T78:INDIRECT(ADDRESS(ROW(),SUMIFS($1:$1,$3:$3,MAX($3:$3)))))</f>
        <v>0</v>
      </c>
      <c r="U78" s="33">
        <f>SUMIFS(CAPEX!U:U,CAPEX!$G:$G,$G78,CAPEX!$H:$H,$H78)</f>
        <v>0</v>
      </c>
      <c r="V78" s="33">
        <f>SUMIFS(CAPEX!V:V,CAPEX!$G:$G,$G78,CAPEX!$H:$H,$H78)</f>
        <v>0</v>
      </c>
      <c r="W78" s="33">
        <f>SUMIFS(CAPEX!W:W,CAPEX!$G:$G,$G78,CAPEX!$H:$H,$H78)</f>
        <v>0</v>
      </c>
      <c r="X78" s="33">
        <f>SUMIFS(CAPEX!X:X,CAPEX!$G:$G,$G78,CAPEX!$H:$H,$H78)</f>
        <v>0</v>
      </c>
      <c r="Y78" s="33">
        <f>SUMIFS(CAPEX!Y:Y,CAPEX!$G:$G,$G78,CAPEX!$H:$H,$H78)</f>
        <v>0</v>
      </c>
      <c r="Z78" s="33">
        <f>SUMIFS(CAPEX!Z:Z,CAPEX!$G:$G,$G78,CAPEX!$H:$H,$H78)</f>
        <v>0</v>
      </c>
      <c r="AA78" s="33">
        <f>SUMIFS(CAPEX!AA:AA,CAPEX!$G:$G,$G78,CAPEX!$H:$H,$H78)</f>
        <v>0</v>
      </c>
      <c r="AB78" s="33">
        <f>SUMIFS(CAPEX!AB:AB,CAPEX!$G:$G,$G78,CAPEX!$H:$H,$H78)</f>
        <v>0</v>
      </c>
    </row>
    <row r="79" spans="2:28" x14ac:dyDescent="0.3">
      <c r="G79" s="1" t="s">
        <v>58</v>
      </c>
      <c r="R79" s="3">
        <f ca="1">SUM($T79:INDIRECT(ADDRESS(ROW(),SUMIFS($1:$1,$3:$3,MAX($3:$3)))))</f>
        <v>0</v>
      </c>
      <c r="U79" s="26"/>
      <c r="V79" s="26"/>
      <c r="W79" s="26"/>
      <c r="X79" s="26"/>
      <c r="Y79" s="26"/>
      <c r="Z79" s="26"/>
      <c r="AA79" s="26"/>
      <c r="AB79" s="26"/>
    </row>
    <row r="80" spans="2:28" x14ac:dyDescent="0.3">
      <c r="G80" s="1" t="s">
        <v>59</v>
      </c>
      <c r="R80" s="3">
        <f ca="1">SUM($T80:INDIRECT(ADDRESS(ROW(),SUMIFS($1:$1,$3:$3,MAX($3:$3)))))</f>
        <v>70000</v>
      </c>
      <c r="U80" s="26"/>
      <c r="V80" s="26"/>
      <c r="W80" s="26">
        <v>70000</v>
      </c>
      <c r="X80" s="26"/>
      <c r="Y80" s="26"/>
      <c r="Z80" s="26"/>
      <c r="AA80" s="26"/>
      <c r="AB80" s="26"/>
    </row>
    <row r="81" spans="2:28" x14ac:dyDescent="0.3">
      <c r="G81" s="1" t="s">
        <v>61</v>
      </c>
      <c r="R81" s="3">
        <f ca="1">SUM($T81:INDIRECT(ADDRESS(ROW(),SUMIFS($1:$1,$3:$3,MAX($3:$3)))))</f>
        <v>70000</v>
      </c>
      <c r="U81" s="26"/>
      <c r="V81" s="26"/>
      <c r="W81" s="26"/>
      <c r="X81" s="26">
        <v>70000</v>
      </c>
      <c r="Y81" s="26"/>
      <c r="Z81" s="26"/>
      <c r="AA81" s="26"/>
      <c r="AB81" s="26"/>
    </row>
    <row r="82" spans="2:28" x14ac:dyDescent="0.3">
      <c r="G82" s="1" t="s">
        <v>60</v>
      </c>
      <c r="R82" s="3">
        <f ca="1">SUM($T82:INDIRECT(ADDRESS(ROW(),SUMIFS($1:$1,$3:$3,MAX($3:$3)))))</f>
        <v>0</v>
      </c>
      <c r="U82" s="26"/>
      <c r="V82" s="26"/>
      <c r="W82" s="26"/>
      <c r="X82" s="26"/>
      <c r="Y82" s="26"/>
      <c r="Z82" s="26"/>
      <c r="AA82" s="26"/>
      <c r="AB82" s="26"/>
    </row>
    <row r="83" spans="2:28" ht="4.95" customHeight="1" x14ac:dyDescent="0.3"/>
    <row r="85" spans="2:28" s="7" customFormat="1" x14ac:dyDescent="0.3">
      <c r="B85" s="24"/>
      <c r="E85" s="7" t="s">
        <v>62</v>
      </c>
      <c r="R85" s="3"/>
      <c r="U85" s="3"/>
      <c r="V85" s="3"/>
      <c r="W85" s="3"/>
      <c r="X85" s="3"/>
      <c r="Y85" s="3"/>
      <c r="Z85" s="3"/>
      <c r="AA85" s="3"/>
      <c r="AB85" s="3"/>
    </row>
    <row r="86" spans="2:28" ht="4.95" customHeight="1" x14ac:dyDescent="0.3"/>
    <row r="87" spans="2:28" x14ac:dyDescent="0.3">
      <c r="B87" s="10" t="str">
        <f>Lists!$F$8</f>
        <v>CF(+)</v>
      </c>
      <c r="G87" s="1" t="s">
        <v>63</v>
      </c>
      <c r="R87" s="3">
        <f ca="1">SUM($T87:INDIRECT(ADDRESS(ROW(),SUMIFS($1:$1,$3:$3,MAX($3:$3)))))</f>
        <v>120000</v>
      </c>
      <c r="U87" s="26"/>
      <c r="V87" s="26"/>
      <c r="W87" s="26"/>
      <c r="X87" s="26"/>
      <c r="Y87" s="26">
        <v>120000</v>
      </c>
      <c r="Z87" s="26"/>
      <c r="AA87" s="26"/>
      <c r="AB87" s="26"/>
    </row>
    <row r="88" spans="2:28" x14ac:dyDescent="0.3">
      <c r="B88" s="10" t="str">
        <f>Lists!$F$9</f>
        <v>CF(-)</v>
      </c>
      <c r="G88" s="1" t="s">
        <v>64</v>
      </c>
      <c r="R88" s="3">
        <f ca="1">SUM($T88:INDIRECT(ADDRESS(ROW(),SUMIFS($1:$1,$3:$3,MAX($3:$3)))))</f>
        <v>70000</v>
      </c>
      <c r="U88" s="26"/>
      <c r="V88" s="26"/>
      <c r="W88" s="26">
        <v>35000</v>
      </c>
      <c r="X88" s="26">
        <v>35000</v>
      </c>
      <c r="Y88" s="26"/>
      <c r="Z88" s="26"/>
      <c r="AA88" s="26"/>
      <c r="AB88" s="26"/>
    </row>
    <row r="89" spans="2:28" s="7" customFormat="1" x14ac:dyDescent="0.3">
      <c r="B89" s="24" t="str">
        <f>Lists!$F$10</f>
        <v>CF</v>
      </c>
      <c r="G89" s="7" t="s">
        <v>65</v>
      </c>
      <c r="R89" s="3">
        <f ca="1">SUM($T89:INDIRECT(ADDRESS(ROW(),SUMIFS($1:$1,$3:$3,MAX($3:$3)))))</f>
        <v>50000</v>
      </c>
      <c r="U89" s="3">
        <f>SUMIFS(U$86:U88,$B$86:$B88,Lists!$F$8)-SUMIFS(U$86:U88,$B$86:$B88,Lists!$F$9)</f>
        <v>0</v>
      </c>
      <c r="V89" s="3">
        <f>SUMIFS(V$86:V88,$B$86:$B88,Lists!$F$8)-SUMIFS(V$86:V88,$B$86:$B88,Lists!$F$9)</f>
        <v>0</v>
      </c>
      <c r="W89" s="3">
        <f>SUMIFS(W$86:W88,$B$86:$B88,Lists!$F$8)-SUMIFS(W$86:W88,$B$86:$B88,Lists!$F$9)</f>
        <v>-35000</v>
      </c>
      <c r="X89" s="3">
        <f>SUMIFS(X$86:X88,$B$86:$B88,Lists!$F$8)-SUMIFS(X$86:X88,$B$86:$B88,Lists!$F$9)</f>
        <v>-35000</v>
      </c>
      <c r="Y89" s="3">
        <f>SUMIFS(Y$86:Y88,$B$86:$B88,Lists!$F$8)-SUMIFS(Y$86:Y88,$B$86:$B88,Lists!$F$9)</f>
        <v>120000</v>
      </c>
      <c r="Z89" s="3">
        <f>SUMIFS(Z$86:Z88,$B$86:$B88,Lists!$F$8)-SUMIFS(Z$86:Z88,$B$86:$B88,Lists!$F$9)</f>
        <v>0</v>
      </c>
      <c r="AA89" s="3">
        <f>SUMIFS(AA$86:AA88,$B$86:$B88,Lists!$F$8)-SUMIFS(AA$86:AA88,$B$86:$B88,Lists!$F$9)</f>
        <v>0</v>
      </c>
      <c r="AB89" s="3">
        <f>SUMIFS(AB$86:AB88,$B$86:$B88,Lists!$F$8)-SUMIFS(AB$86:AB88,$B$86:$B88,Lists!$F$9)</f>
        <v>0</v>
      </c>
    </row>
    <row r="90" spans="2:28" x14ac:dyDescent="0.3">
      <c r="B90" s="10" t="str">
        <f>Lists!$F$9</f>
        <v>CF(-)</v>
      </c>
      <c r="G90" s="1" t="s">
        <v>66</v>
      </c>
      <c r="R90" s="3">
        <f ca="1">SUM($T90:INDIRECT(ADDRESS(ROW(),SUMIFS($1:$1,$3:$3,MAX($3:$3)))))</f>
        <v>0</v>
      </c>
    </row>
    <row r="91" spans="2:28" s="7" customFormat="1" x14ac:dyDescent="0.3">
      <c r="B91" s="24"/>
      <c r="G91" s="7" t="s">
        <v>67</v>
      </c>
      <c r="R91" s="3">
        <f ca="1">SUM($T91:INDIRECT(ADDRESS(ROW(),SUMIFS($1:$1,$3:$3,MAX($3:$3)))))</f>
        <v>50000</v>
      </c>
      <c r="U91" s="3">
        <f>SUMIFS(U$86:U90,$B$86:$B90,Lists!$F$8)-SUMIFS(U$86:U90,$B$86:$B90,Lists!$F$9)</f>
        <v>0</v>
      </c>
      <c r="V91" s="3">
        <f>SUMIFS(V$86:V90,$B$86:$B90,Lists!$F$8)-SUMIFS(V$86:V90,$B$86:$B90,Lists!$F$9)</f>
        <v>0</v>
      </c>
      <c r="W91" s="3">
        <f>SUMIFS(W$86:W90,$B$86:$B90,Lists!$F$8)-SUMIFS(W$86:W90,$B$86:$B90,Lists!$F$9)</f>
        <v>-35000</v>
      </c>
      <c r="X91" s="3">
        <f>SUMIFS(X$86:X90,$B$86:$B90,Lists!$F$8)-SUMIFS(X$86:X90,$B$86:$B90,Lists!$F$9)</f>
        <v>-35000</v>
      </c>
      <c r="Y91" s="3">
        <f>SUMIFS(Y$86:Y90,$B$86:$B90,Lists!$F$8)-SUMIFS(Y$86:Y90,$B$86:$B90,Lists!$F$9)</f>
        <v>120000</v>
      </c>
      <c r="Z91" s="3">
        <f>SUMIFS(Z$86:Z90,$B$86:$B90,Lists!$F$8)-SUMIFS(Z$86:Z90,$B$86:$B90,Lists!$F$9)</f>
        <v>0</v>
      </c>
      <c r="AA91" s="3">
        <f>SUMIFS(AA$86:AA90,$B$86:$B90,Lists!$F$8)-SUMIFS(AA$86:AA90,$B$86:$B90,Lists!$F$9)</f>
        <v>0</v>
      </c>
      <c r="AB91" s="3">
        <f>SUMIFS(AB$86:AB90,$B$86:$B90,Lists!$F$8)-SUMIFS(AB$86:AB90,$B$86:$B90,Lists!$F$9)</f>
        <v>0</v>
      </c>
    </row>
    <row r="92" spans="2:28" x14ac:dyDescent="0.3">
      <c r="B92" s="10" t="str">
        <f>Lists!$F$9</f>
        <v>CF(-)</v>
      </c>
      <c r="G92" s="1" t="s">
        <v>68</v>
      </c>
      <c r="R92" s="3">
        <f ca="1">SUM($T92:INDIRECT(ADDRESS(ROW(),SUMIFS($1:$1,$3:$3,MAX($3:$3)))))</f>
        <v>1307375</v>
      </c>
      <c r="U92" s="26">
        <f>SUM(U93:U97)</f>
        <v>160000</v>
      </c>
      <c r="V92" s="26">
        <f t="shared" ref="V92:AB92" si="55">SUM(V93:V97)</f>
        <v>160000</v>
      </c>
      <c r="W92" s="26">
        <f t="shared" si="55"/>
        <v>160000</v>
      </c>
      <c r="X92" s="26">
        <f t="shared" si="55"/>
        <v>161800</v>
      </c>
      <c r="Y92" s="26">
        <f t="shared" si="55"/>
        <v>170500</v>
      </c>
      <c r="Z92" s="26">
        <f t="shared" si="55"/>
        <v>160075</v>
      </c>
      <c r="AA92" s="26">
        <f t="shared" si="55"/>
        <v>175000</v>
      </c>
      <c r="AB92" s="26">
        <f t="shared" si="55"/>
        <v>160000</v>
      </c>
    </row>
    <row r="93" spans="2:28" s="4" customFormat="1" ht="12" x14ac:dyDescent="0.25">
      <c r="B93" s="30"/>
      <c r="G93" s="31" t="str">
        <f>G92</f>
        <v>Оплата расходов на содержание бизнеса</v>
      </c>
      <c r="H93" s="4" t="str">
        <f>Lists!J8</f>
        <v>Аренда офиса</v>
      </c>
      <c r="L93" s="33"/>
      <c r="M93" s="38"/>
      <c r="R93" s="32">
        <f ca="1">SUM($T93:INDIRECT(ADDRESS(ROW(),SUMIFS($1:$1,$3:$3,MAX($3:$3)))))</f>
        <v>800000</v>
      </c>
      <c r="U93" s="33">
        <f>U152</f>
        <v>100000</v>
      </c>
      <c r="V93" s="33">
        <f t="shared" ref="V93:AB93" si="56">V152</f>
        <v>100000</v>
      </c>
      <c r="W93" s="33">
        <f t="shared" si="56"/>
        <v>100000</v>
      </c>
      <c r="X93" s="33">
        <f t="shared" si="56"/>
        <v>100000</v>
      </c>
      <c r="Y93" s="33">
        <f t="shared" si="56"/>
        <v>100000</v>
      </c>
      <c r="Z93" s="33">
        <f t="shared" si="56"/>
        <v>100000</v>
      </c>
      <c r="AA93" s="33">
        <f t="shared" si="56"/>
        <v>100000</v>
      </c>
      <c r="AB93" s="33">
        <f t="shared" si="56"/>
        <v>100000</v>
      </c>
    </row>
    <row r="94" spans="2:28" s="4" customFormat="1" ht="12" x14ac:dyDescent="0.25">
      <c r="B94" s="30"/>
      <c r="G94" s="31" t="str">
        <f>G92</f>
        <v>Оплата расходов на содержание бизнеса</v>
      </c>
      <c r="H94" s="4" t="str">
        <f>Lists!J9</f>
        <v>Расходы на персонал</v>
      </c>
      <c r="L94" s="33"/>
      <c r="M94" s="38"/>
      <c r="R94" s="32">
        <f ca="1">SUM($T94:INDIRECT(ADDRESS(ROW(),SUMIFS($1:$1,$3:$3,MAX($3:$3)))))</f>
        <v>9125</v>
      </c>
      <c r="U94" s="33">
        <f t="shared" ref="U94:AB97" si="57">U153</f>
        <v>0</v>
      </c>
      <c r="V94" s="33">
        <f t="shared" si="57"/>
        <v>0</v>
      </c>
      <c r="W94" s="33">
        <f t="shared" si="57"/>
        <v>0</v>
      </c>
      <c r="X94" s="33">
        <f t="shared" si="57"/>
        <v>600</v>
      </c>
      <c r="Y94" s="33">
        <f t="shared" si="57"/>
        <v>3500</v>
      </c>
      <c r="Z94" s="33">
        <f t="shared" si="57"/>
        <v>25</v>
      </c>
      <c r="AA94" s="33">
        <f t="shared" si="57"/>
        <v>5000</v>
      </c>
      <c r="AB94" s="33">
        <f t="shared" si="57"/>
        <v>0</v>
      </c>
    </row>
    <row r="95" spans="2:28" s="4" customFormat="1" ht="12" x14ac:dyDescent="0.25">
      <c r="B95" s="30"/>
      <c r="G95" s="31" t="str">
        <f>G92</f>
        <v>Оплата расходов на содержание бизнеса</v>
      </c>
      <c r="H95" s="4" t="str">
        <f>Lists!J10</f>
        <v>Содержагние сайта</v>
      </c>
      <c r="L95" s="33"/>
      <c r="M95" s="38"/>
      <c r="R95" s="32">
        <f ca="1">SUM($T95:INDIRECT(ADDRESS(ROW(),SUMIFS($1:$1,$3:$3,MAX($3:$3)))))</f>
        <v>80000</v>
      </c>
      <c r="U95" s="33">
        <f t="shared" si="57"/>
        <v>10000</v>
      </c>
      <c r="V95" s="33">
        <f t="shared" si="57"/>
        <v>10000</v>
      </c>
      <c r="W95" s="33">
        <f t="shared" si="57"/>
        <v>10000</v>
      </c>
      <c r="X95" s="33">
        <f t="shared" si="57"/>
        <v>10000</v>
      </c>
      <c r="Y95" s="33">
        <f t="shared" si="57"/>
        <v>10000</v>
      </c>
      <c r="Z95" s="33">
        <f t="shared" si="57"/>
        <v>10000</v>
      </c>
      <c r="AA95" s="33">
        <f t="shared" si="57"/>
        <v>10000</v>
      </c>
      <c r="AB95" s="33">
        <f t="shared" si="57"/>
        <v>10000</v>
      </c>
    </row>
    <row r="96" spans="2:28" s="4" customFormat="1" ht="12" x14ac:dyDescent="0.25">
      <c r="B96" s="30"/>
      <c r="G96" s="31" t="str">
        <f>G92</f>
        <v>Оплата расходов на содержание бизнеса</v>
      </c>
      <c r="H96" s="4" t="str">
        <f>Lists!J11</f>
        <v>Реклама</v>
      </c>
      <c r="L96" s="33"/>
      <c r="M96" s="38"/>
      <c r="R96" s="32">
        <f ca="1">SUM($T96:INDIRECT(ADDRESS(ROW(),SUMIFS($1:$1,$3:$3,MAX($3:$3)))))</f>
        <v>18250</v>
      </c>
      <c r="U96" s="33">
        <f t="shared" si="57"/>
        <v>0</v>
      </c>
      <c r="V96" s="33">
        <f t="shared" si="57"/>
        <v>0</v>
      </c>
      <c r="W96" s="33">
        <f t="shared" si="57"/>
        <v>0</v>
      </c>
      <c r="X96" s="33">
        <f t="shared" si="57"/>
        <v>1200</v>
      </c>
      <c r="Y96" s="33">
        <f t="shared" si="57"/>
        <v>7000</v>
      </c>
      <c r="Z96" s="33">
        <f t="shared" si="57"/>
        <v>50</v>
      </c>
      <c r="AA96" s="33">
        <f t="shared" si="57"/>
        <v>10000</v>
      </c>
      <c r="AB96" s="33">
        <f t="shared" si="57"/>
        <v>0</v>
      </c>
    </row>
    <row r="97" spans="2:28" s="4" customFormat="1" ht="12" x14ac:dyDescent="0.25">
      <c r="B97" s="30"/>
      <c r="G97" s="31" t="str">
        <f>G92</f>
        <v>Оплата расходов на содержание бизнеса</v>
      </c>
      <c r="H97" s="4" t="str">
        <f>Lists!J12</f>
        <v>Содержание и ремонты помещений</v>
      </c>
      <c r="L97" s="33"/>
      <c r="M97" s="38"/>
      <c r="R97" s="32">
        <f ca="1">SUM($T97:INDIRECT(ADDRESS(ROW(),SUMIFS($1:$1,$3:$3,MAX($3:$3)))))</f>
        <v>400000</v>
      </c>
      <c r="U97" s="33">
        <f t="shared" si="57"/>
        <v>50000</v>
      </c>
      <c r="V97" s="33">
        <f t="shared" si="57"/>
        <v>50000</v>
      </c>
      <c r="W97" s="33">
        <f t="shared" si="57"/>
        <v>50000</v>
      </c>
      <c r="X97" s="33">
        <f t="shared" si="57"/>
        <v>50000</v>
      </c>
      <c r="Y97" s="33">
        <f t="shared" si="57"/>
        <v>50000</v>
      </c>
      <c r="Z97" s="33">
        <f t="shared" si="57"/>
        <v>50000</v>
      </c>
      <c r="AA97" s="33">
        <f t="shared" si="57"/>
        <v>50000</v>
      </c>
      <c r="AB97" s="33">
        <f t="shared" si="57"/>
        <v>50000</v>
      </c>
    </row>
    <row r="98" spans="2:28" x14ac:dyDescent="0.3">
      <c r="B98" s="10" t="str">
        <f>Lists!$F$9</f>
        <v>CF(-)</v>
      </c>
      <c r="G98" s="1" t="s">
        <v>69</v>
      </c>
      <c r="R98" s="3">
        <f ca="1">SUM($T98:INDIRECT(ADDRESS(ROW(),SUMIFS($1:$1,$3:$3,MAX($3:$3)))))</f>
        <v>0</v>
      </c>
      <c r="U98" s="26"/>
      <c r="V98" s="26"/>
      <c r="W98" s="26"/>
      <c r="X98" s="26"/>
      <c r="Y98" s="26"/>
      <c r="Z98" s="26"/>
      <c r="AA98" s="26"/>
      <c r="AB98" s="26"/>
    </row>
    <row r="99" spans="2:28" x14ac:dyDescent="0.3">
      <c r="B99" s="10" t="str">
        <f>Lists!$F$9</f>
        <v>CF(-)</v>
      </c>
      <c r="G99" s="1" t="s">
        <v>70</v>
      </c>
      <c r="R99" s="3">
        <f ca="1">SUM($T99:INDIRECT(ADDRESS(ROW(),SUMIFS($1:$1,$3:$3,MAX($3:$3)))))</f>
        <v>0</v>
      </c>
      <c r="U99" s="26"/>
      <c r="V99" s="26"/>
      <c r="W99" s="26"/>
      <c r="X99" s="26"/>
      <c r="Y99" s="26"/>
      <c r="Z99" s="26"/>
      <c r="AA99" s="26"/>
      <c r="AB99" s="26"/>
    </row>
    <row r="100" spans="2:28" x14ac:dyDescent="0.3">
      <c r="B100" s="10" t="str">
        <f>Lists!$F$9</f>
        <v>CF(-)</v>
      </c>
      <c r="G100" s="1" t="s">
        <v>71</v>
      </c>
      <c r="R100" s="3">
        <f ca="1">SUM($T100:INDIRECT(ADDRESS(ROW(),SUMIFS($1:$1,$3:$3,MAX($3:$3)))))</f>
        <v>0</v>
      </c>
      <c r="U100" s="26"/>
      <c r="V100" s="26"/>
      <c r="W100" s="26"/>
      <c r="X100" s="26"/>
      <c r="Y100" s="26"/>
      <c r="Z100" s="26"/>
      <c r="AA100" s="26"/>
      <c r="AB100" s="26"/>
    </row>
    <row r="101" spans="2:28" s="7" customFormat="1" x14ac:dyDescent="0.3">
      <c r="B101" s="24" t="str">
        <f>Lists!$F$10</f>
        <v>CF</v>
      </c>
      <c r="G101" s="7" t="s">
        <v>72</v>
      </c>
      <c r="R101" s="3">
        <f ca="1">SUM($T101:INDIRECT(ADDRESS(ROW(),SUMIFS($1:$1,$3:$3,MAX($3:$3)))))</f>
        <v>-1257375</v>
      </c>
      <c r="U101" s="3">
        <f>SUMIFS(U$86:U100,$B$86:$B100,Lists!$F$8)-SUMIFS(U$86:U100,$B$86:$B100,Lists!$F$9)</f>
        <v>-160000</v>
      </c>
      <c r="V101" s="3">
        <f>SUMIFS(V$86:V100,$B$86:$B100,Lists!$F$8)-SUMIFS(V$86:V100,$B$86:$B100,Lists!$F$9)</f>
        <v>-160000</v>
      </c>
      <c r="W101" s="3">
        <f>SUMIFS(W$86:W100,$B$86:$B100,Lists!$F$8)-SUMIFS(W$86:W100,$B$86:$B100,Lists!$F$9)</f>
        <v>-195000</v>
      </c>
      <c r="X101" s="3">
        <f>SUMIFS(X$86:X100,$B$86:$B100,Lists!$F$8)-SUMIFS(X$86:X100,$B$86:$B100,Lists!$F$9)</f>
        <v>-196800</v>
      </c>
      <c r="Y101" s="3">
        <f>SUMIFS(Y$86:Y100,$B$86:$B100,Lists!$F$8)-SUMIFS(Y$86:Y100,$B$86:$B100,Lists!$F$9)</f>
        <v>-50500</v>
      </c>
      <c r="Z101" s="3">
        <f>SUMIFS(Z$86:Z100,$B$86:$B100,Lists!$F$8)-SUMIFS(Z$86:Z100,$B$86:$B100,Lists!$F$9)</f>
        <v>-160075</v>
      </c>
      <c r="AA101" s="3">
        <f>SUMIFS(AA$86:AA100,$B$86:$B100,Lists!$F$8)-SUMIFS(AA$86:AA100,$B$86:$B100,Lists!$F$9)</f>
        <v>-175000</v>
      </c>
      <c r="AB101" s="3">
        <f>SUMIFS(AB$86:AB100,$B$86:$B100,Lists!$F$8)-SUMIFS(AB$86:AB100,$B$86:$B100,Lists!$F$9)</f>
        <v>-160000</v>
      </c>
    </row>
    <row r="102" spans="2:28" ht="4.95" customHeight="1" x14ac:dyDescent="0.3"/>
    <row r="103" spans="2:28" x14ac:dyDescent="0.3">
      <c r="B103" s="10" t="str">
        <f>Lists!$F$9</f>
        <v>CF(-)</v>
      </c>
      <c r="G103" s="1" t="s">
        <v>73</v>
      </c>
      <c r="R103" s="3">
        <f ca="1">SUM($T103:INDIRECT(ADDRESS(ROW(),SUMIFS($1:$1,$3:$3,MAX($3:$3)))))</f>
        <v>109750000</v>
      </c>
      <c r="U103" s="26">
        <f ca="1">SUM(U104:U106)</f>
        <v>11850000</v>
      </c>
      <c r="V103" s="26">
        <f t="shared" ref="V103:AB103" ca="1" si="58">SUM(V104:V106)</f>
        <v>16100000</v>
      </c>
      <c r="W103" s="26">
        <f t="shared" ca="1" si="58"/>
        <v>12950000</v>
      </c>
      <c r="X103" s="26">
        <f t="shared" ca="1" si="58"/>
        <v>5200000</v>
      </c>
      <c r="Y103" s="26">
        <f t="shared" ca="1" si="58"/>
        <v>15140000</v>
      </c>
      <c r="Z103" s="26">
        <f t="shared" ca="1" si="58"/>
        <v>20510000</v>
      </c>
      <c r="AA103" s="26">
        <f t="shared" ca="1" si="58"/>
        <v>16800000</v>
      </c>
      <c r="AB103" s="26">
        <f t="shared" ca="1" si="58"/>
        <v>11200000</v>
      </c>
    </row>
    <row r="104" spans="2:28" s="4" customFormat="1" ht="12" x14ac:dyDescent="0.25">
      <c r="B104" s="30"/>
      <c r="G104" s="31" t="str">
        <f>G103</f>
        <v>Оплата капзатрат</v>
      </c>
      <c r="H104" s="4" t="str">
        <f>Lists!$H$8</f>
        <v>Производственные цеха</v>
      </c>
      <c r="R104" s="32">
        <f ca="1">SUM($T104:INDIRECT(ADDRESS(ROW(),SUMIFS($1:$1,$3:$3,MAX($3:$3)))))</f>
        <v>72000000</v>
      </c>
      <c r="U104" s="33">
        <f ca="1">SUMIFS(CAPEX!U:U,CAPEX!$G:$G,$G104,CAPEX!$H:$H,$H104)</f>
        <v>10800000</v>
      </c>
      <c r="V104" s="33">
        <f ca="1">SUMIFS(CAPEX!V:V,CAPEX!$G:$G,$G104,CAPEX!$H:$H,$H104)</f>
        <v>14000000</v>
      </c>
      <c r="W104" s="33">
        <f ca="1">SUMIFS(CAPEX!W:W,CAPEX!$G:$G,$G104,CAPEX!$H:$H,$H104)</f>
        <v>10500000</v>
      </c>
      <c r="X104" s="33">
        <f ca="1">SUMIFS(CAPEX!X:X,CAPEX!$G:$G,$G104,CAPEX!$H:$H,$H104)</f>
        <v>700000</v>
      </c>
      <c r="Y104" s="33">
        <f ca="1">SUMIFS(CAPEX!Y:Y,CAPEX!$G:$G,$G104,CAPEX!$H:$H,$H104)</f>
        <v>10800000</v>
      </c>
      <c r="Z104" s="33">
        <f ca="1">SUMIFS(CAPEX!Z:Z,CAPEX!$G:$G,$G104,CAPEX!$H:$H,$H104)</f>
        <v>14000000</v>
      </c>
      <c r="AA104" s="33">
        <f ca="1">SUMIFS(CAPEX!AA:AA,CAPEX!$G:$G,$G104,CAPEX!$H:$H,$H104)</f>
        <v>10500000</v>
      </c>
      <c r="AB104" s="33">
        <f ca="1">SUMIFS(CAPEX!AB:AB,CAPEX!$G:$G,$G104,CAPEX!$H:$H,$H104)</f>
        <v>700000</v>
      </c>
    </row>
    <row r="105" spans="2:28" s="4" customFormat="1" ht="12" x14ac:dyDescent="0.25">
      <c r="B105" s="30"/>
      <c r="G105" s="31" t="str">
        <f>G103</f>
        <v>Оплата капзатрат</v>
      </c>
      <c r="H105" s="4" t="str">
        <f>Lists!$H$9</f>
        <v>Торговые точки</v>
      </c>
      <c r="R105" s="32">
        <f ca="1">SUM($T105:INDIRECT(ADDRESS(ROW(),SUMIFS($1:$1,$3:$3,MAX($3:$3)))))</f>
        <v>36750000</v>
      </c>
      <c r="U105" s="33">
        <f ca="1">SUMIFS(CAPEX!U:U,CAPEX!$G:$G,$G105,CAPEX!$H:$H,$H105)</f>
        <v>1050000</v>
      </c>
      <c r="V105" s="33">
        <f ca="1">SUMIFS(CAPEX!V:V,CAPEX!$G:$G,$G105,CAPEX!$H:$H,$H105)</f>
        <v>2100000</v>
      </c>
      <c r="W105" s="33">
        <f ca="1">SUMIFS(CAPEX!W:W,CAPEX!$G:$G,$G105,CAPEX!$H:$H,$H105)</f>
        <v>2450000</v>
      </c>
      <c r="X105" s="33">
        <f ca="1">SUMIFS(CAPEX!X:X,CAPEX!$G:$G,$G105,CAPEX!$H:$H,$H105)</f>
        <v>4200000</v>
      </c>
      <c r="Y105" s="33">
        <f ca="1">SUMIFS(CAPEX!Y:Y,CAPEX!$G:$G,$G105,CAPEX!$H:$H,$H105)</f>
        <v>3850000</v>
      </c>
      <c r="Z105" s="33">
        <f ca="1">SUMIFS(CAPEX!Z:Z,CAPEX!$G:$G,$G105,CAPEX!$H:$H,$H105)</f>
        <v>6300000</v>
      </c>
      <c r="AA105" s="33">
        <f ca="1">SUMIFS(CAPEX!AA:AA,CAPEX!$G:$G,$G105,CAPEX!$H:$H,$H105)</f>
        <v>6300000</v>
      </c>
      <c r="AB105" s="33">
        <f ca="1">SUMIFS(CAPEX!AB:AB,CAPEX!$G:$G,$G105,CAPEX!$H:$H,$H105)</f>
        <v>10500000</v>
      </c>
    </row>
    <row r="106" spans="2:28" s="4" customFormat="1" ht="12" x14ac:dyDescent="0.25">
      <c r="B106" s="30"/>
      <c r="G106" s="31" t="str">
        <f>G103</f>
        <v>Оплата капзатрат</v>
      </c>
      <c r="H106" s="4" t="str">
        <f>Lists!$H$10</f>
        <v>Инфраструктура для e-Comm</v>
      </c>
      <c r="R106" s="32">
        <f ca="1">SUM($T106:INDIRECT(ADDRESS(ROW(),SUMIFS($1:$1,$3:$3,MAX($3:$3)))))</f>
        <v>1000000</v>
      </c>
      <c r="U106" s="33">
        <f ca="1">SUMIFS(CAPEX!U:U,CAPEX!$G:$G,$G106,CAPEX!$H:$H,$H106)</f>
        <v>0</v>
      </c>
      <c r="V106" s="33">
        <f ca="1">SUMIFS(CAPEX!V:V,CAPEX!$G:$G,$G106,CAPEX!$H:$H,$H106)</f>
        <v>0</v>
      </c>
      <c r="W106" s="33">
        <f ca="1">SUMIFS(CAPEX!W:W,CAPEX!$G:$G,$G106,CAPEX!$H:$H,$H106)</f>
        <v>0</v>
      </c>
      <c r="X106" s="33">
        <f ca="1">SUMIFS(CAPEX!X:X,CAPEX!$G:$G,$G106,CAPEX!$H:$H,$H106)</f>
        <v>300000</v>
      </c>
      <c r="Y106" s="33">
        <f ca="1">SUMIFS(CAPEX!Y:Y,CAPEX!$G:$G,$G106,CAPEX!$H:$H,$H106)</f>
        <v>489999.99999999994</v>
      </c>
      <c r="Z106" s="33">
        <f ca="1">SUMIFS(CAPEX!Z:Z,CAPEX!$G:$G,$G106,CAPEX!$H:$H,$H106)</f>
        <v>210000</v>
      </c>
      <c r="AA106" s="33">
        <f ca="1">SUMIFS(CAPEX!AA:AA,CAPEX!$G:$G,$G106,CAPEX!$H:$H,$H106)</f>
        <v>0</v>
      </c>
      <c r="AB106" s="33">
        <f ca="1">SUMIFS(CAPEX!AB:AB,CAPEX!$G:$G,$G106,CAPEX!$H:$H,$H106)</f>
        <v>0</v>
      </c>
    </row>
    <row r="107" spans="2:28" x14ac:dyDescent="0.3">
      <c r="B107" s="10" t="str">
        <f>Lists!$F$9</f>
        <v>CF(-)</v>
      </c>
      <c r="G107" s="1" t="s">
        <v>74</v>
      </c>
      <c r="R107" s="3">
        <f ca="1">SUM($T107:INDIRECT(ADDRESS(ROW(),SUMIFS($1:$1,$3:$3,MAX($3:$3)))))</f>
        <v>0</v>
      </c>
      <c r="U107" s="26"/>
      <c r="V107" s="26"/>
      <c r="W107" s="26"/>
      <c r="X107" s="26"/>
      <c r="Y107" s="26"/>
      <c r="Z107" s="26"/>
      <c r="AA107" s="26"/>
      <c r="AB107" s="26"/>
    </row>
    <row r="108" spans="2:28" x14ac:dyDescent="0.3">
      <c r="B108" s="10" t="str">
        <f>Lists!$F$8</f>
        <v>CF(+)</v>
      </c>
      <c r="G108" s="1" t="s">
        <v>75</v>
      </c>
      <c r="R108" s="3">
        <f ca="1">SUM($T108:INDIRECT(ADDRESS(ROW(),SUMIFS($1:$1,$3:$3,MAX($3:$3)))))</f>
        <v>0</v>
      </c>
      <c r="U108" s="26"/>
      <c r="V108" s="26"/>
      <c r="W108" s="26"/>
      <c r="X108" s="26"/>
      <c r="Y108" s="26"/>
      <c r="Z108" s="26"/>
      <c r="AA108" s="26"/>
      <c r="AB108" s="26"/>
    </row>
    <row r="109" spans="2:28" x14ac:dyDescent="0.3">
      <c r="B109" s="10" t="str">
        <f>Lists!$F$9</f>
        <v>CF(-)</v>
      </c>
      <c r="G109" s="1" t="s">
        <v>76</v>
      </c>
      <c r="R109" s="3">
        <f ca="1">SUM($T109:INDIRECT(ADDRESS(ROW(),SUMIFS($1:$1,$3:$3,MAX($3:$3)))))</f>
        <v>0</v>
      </c>
      <c r="U109" s="26"/>
      <c r="V109" s="26"/>
      <c r="W109" s="26"/>
      <c r="X109" s="26"/>
      <c r="Y109" s="26"/>
      <c r="Z109" s="26"/>
      <c r="AA109" s="26"/>
      <c r="AB109" s="26"/>
    </row>
    <row r="110" spans="2:28" x14ac:dyDescent="0.3">
      <c r="B110" s="10" t="str">
        <f>Lists!$F$8</f>
        <v>CF(+)</v>
      </c>
      <c r="G110" s="1" t="s">
        <v>77</v>
      </c>
      <c r="R110" s="3">
        <f ca="1">SUM($T110:INDIRECT(ADDRESS(ROW(),SUMIFS($1:$1,$3:$3,MAX($3:$3)))))</f>
        <v>0</v>
      </c>
      <c r="U110" s="26"/>
      <c r="V110" s="26"/>
      <c r="W110" s="26"/>
      <c r="X110" s="26"/>
      <c r="Y110" s="26"/>
      <c r="Z110" s="26"/>
      <c r="AA110" s="26"/>
      <c r="AB110" s="26"/>
    </row>
    <row r="111" spans="2:28" s="19" customFormat="1" x14ac:dyDescent="0.3">
      <c r="B111" s="24" t="str">
        <f>Lists!$F$10</f>
        <v>CF</v>
      </c>
      <c r="G111" s="19" t="s">
        <v>78</v>
      </c>
      <c r="R111" s="20">
        <f ca="1">SUM($T111:INDIRECT(ADDRESS(ROW(),SUMIFS($1:$1,$3:$3,MAX($3:$3)))))</f>
        <v>-109750000</v>
      </c>
      <c r="U111" s="20">
        <f ca="1">SUMIFS(U$102:U110,$B$102:$B110,Lists!$F$8)-SUMIFS(U$102:U110,$B$102:$B110,Lists!$F$9)</f>
        <v>-11850000</v>
      </c>
      <c r="V111" s="20">
        <f ca="1">SUMIFS(V$102:V110,$B$102:$B110,Lists!$F$8)-SUMIFS(V$102:V110,$B$102:$B110,Lists!$F$9)</f>
        <v>-16100000</v>
      </c>
      <c r="W111" s="20">
        <f ca="1">SUMIFS(W$102:W110,$B$102:$B110,Lists!$F$8)-SUMIFS(W$102:W110,$B$102:$B110,Lists!$F$9)</f>
        <v>-12950000</v>
      </c>
      <c r="X111" s="20">
        <f ca="1">SUMIFS(X$102:X110,$B$102:$B110,Lists!$F$8)-SUMIFS(X$102:X110,$B$102:$B110,Lists!$F$9)</f>
        <v>-5200000</v>
      </c>
      <c r="Y111" s="20">
        <f ca="1">SUMIFS(Y$102:Y110,$B$102:$B110,Lists!$F$8)-SUMIFS(Y$102:Y110,$B$102:$B110,Lists!$F$9)</f>
        <v>-15140000</v>
      </c>
      <c r="Z111" s="20">
        <f ca="1">SUMIFS(Z$102:Z110,$B$102:$B110,Lists!$F$8)-SUMIFS(Z$102:Z110,$B$102:$B110,Lists!$F$9)</f>
        <v>-20510000</v>
      </c>
      <c r="AA111" s="20">
        <f ca="1">SUMIFS(AA$102:AA110,$B$102:$B110,Lists!$F$8)-SUMIFS(AA$102:AA110,$B$102:$B110,Lists!$F$9)</f>
        <v>-16800000</v>
      </c>
      <c r="AB111" s="20">
        <f ca="1">SUMIFS(AB$102:AB110,$B$102:$B110,Lists!$F$8)-SUMIFS(AB$102:AB110,$B$102:$B110,Lists!$F$9)</f>
        <v>-11200000</v>
      </c>
    </row>
    <row r="112" spans="2:28" ht="4.95" customHeight="1" x14ac:dyDescent="0.3"/>
    <row r="113" spans="2:28" x14ac:dyDescent="0.3">
      <c r="B113" s="10" t="str">
        <f>Lists!$F$8</f>
        <v>CF(+)</v>
      </c>
      <c r="G113" s="1" t="s">
        <v>79</v>
      </c>
      <c r="R113" s="3">
        <f ca="1">SUM($T113:INDIRECT(ADDRESS(ROW(),SUMIFS($1:$1,$3:$3,MAX($3:$3)))))</f>
        <v>50000000</v>
      </c>
      <c r="U113" s="26">
        <f>SUM(U114:U120)</f>
        <v>50000000</v>
      </c>
      <c r="V113" s="26">
        <f t="shared" ref="V113:AB113" si="59">SUM(V114:V120)</f>
        <v>0</v>
      </c>
      <c r="W113" s="26">
        <f t="shared" si="59"/>
        <v>0</v>
      </c>
      <c r="X113" s="26">
        <f t="shared" si="59"/>
        <v>0</v>
      </c>
      <c r="Y113" s="26">
        <f t="shared" si="59"/>
        <v>0</v>
      </c>
      <c r="Z113" s="26">
        <f t="shared" si="59"/>
        <v>0</v>
      </c>
      <c r="AA113" s="26">
        <f t="shared" si="59"/>
        <v>0</v>
      </c>
      <c r="AB113" s="26">
        <f t="shared" si="59"/>
        <v>0</v>
      </c>
    </row>
    <row r="114" spans="2:28" x14ac:dyDescent="0.3">
      <c r="G114" s="1" t="str">
        <f>$G$113</f>
        <v>Поступления по финансовой деятельности</v>
      </c>
      <c r="H114" s="1" t="s">
        <v>80</v>
      </c>
      <c r="R114" s="3">
        <f ca="1">SUM($T114:INDIRECT(ADDRESS(ROW(),SUMIFS($1:$1,$3:$3,MAX($3:$3)))))</f>
        <v>50000000</v>
      </c>
      <c r="U114" s="26">
        <v>50000000</v>
      </c>
      <c r="V114" s="26"/>
      <c r="W114" s="26"/>
      <c r="X114" s="26"/>
      <c r="Y114" s="26"/>
      <c r="Z114" s="26"/>
      <c r="AA114" s="26"/>
      <c r="AB114" s="26"/>
    </row>
    <row r="115" spans="2:28" x14ac:dyDescent="0.3">
      <c r="G115" s="1" t="str">
        <f t="shared" ref="G115:G120" si="60">$G$113</f>
        <v>Поступления по финансовой деятельности</v>
      </c>
      <c r="H115" s="1" t="s">
        <v>81</v>
      </c>
      <c r="R115" s="3">
        <f ca="1">SUM($T115:INDIRECT(ADDRESS(ROW(),SUMIFS($1:$1,$3:$3,MAX($3:$3)))))</f>
        <v>0</v>
      </c>
      <c r="U115" s="26"/>
      <c r="V115" s="26"/>
      <c r="W115" s="26"/>
      <c r="X115" s="26"/>
      <c r="Y115" s="26"/>
      <c r="Z115" s="26"/>
      <c r="AA115" s="26"/>
      <c r="AB115" s="26"/>
    </row>
    <row r="116" spans="2:28" x14ac:dyDescent="0.3">
      <c r="G116" s="1" t="str">
        <f t="shared" si="60"/>
        <v>Поступления по финансовой деятельности</v>
      </c>
      <c r="H116" s="1" t="s">
        <v>82</v>
      </c>
      <c r="R116" s="3">
        <f ca="1">SUM($T116:INDIRECT(ADDRESS(ROW(),SUMIFS($1:$1,$3:$3,MAX($3:$3)))))</f>
        <v>0</v>
      </c>
      <c r="U116" s="26"/>
      <c r="V116" s="26"/>
      <c r="W116" s="26"/>
      <c r="X116" s="26"/>
      <c r="Y116" s="26"/>
      <c r="Z116" s="26"/>
      <c r="AA116" s="26"/>
      <c r="AB116" s="26"/>
    </row>
    <row r="117" spans="2:28" x14ac:dyDescent="0.3">
      <c r="G117" s="1" t="str">
        <f t="shared" si="60"/>
        <v>Поступления по финансовой деятельности</v>
      </c>
      <c r="H117" s="1" t="s">
        <v>83</v>
      </c>
      <c r="R117" s="3">
        <f ca="1">SUM($T117:INDIRECT(ADDRESS(ROW(),SUMIFS($1:$1,$3:$3,MAX($3:$3)))))</f>
        <v>0</v>
      </c>
      <c r="U117" s="26"/>
      <c r="V117" s="26"/>
      <c r="W117" s="26"/>
      <c r="X117" s="26"/>
      <c r="Y117" s="26"/>
      <c r="Z117" s="26"/>
      <c r="AA117" s="26"/>
      <c r="AB117" s="26"/>
    </row>
    <row r="118" spans="2:28" x14ac:dyDescent="0.3">
      <c r="G118" s="1" t="str">
        <f t="shared" si="60"/>
        <v>Поступления по финансовой деятельности</v>
      </c>
      <c r="H118" s="1" t="s">
        <v>84</v>
      </c>
      <c r="R118" s="3">
        <f ca="1">SUM($T118:INDIRECT(ADDRESS(ROW(),SUMIFS($1:$1,$3:$3,MAX($3:$3)))))</f>
        <v>0</v>
      </c>
      <c r="U118" s="26"/>
      <c r="V118" s="26"/>
      <c r="W118" s="26"/>
      <c r="X118" s="26"/>
      <c r="Y118" s="26"/>
      <c r="Z118" s="26"/>
      <c r="AA118" s="26"/>
      <c r="AB118" s="26"/>
    </row>
    <row r="119" spans="2:28" x14ac:dyDescent="0.3">
      <c r="G119" s="1" t="str">
        <f t="shared" si="60"/>
        <v>Поступления по финансовой деятельности</v>
      </c>
      <c r="H119" s="1" t="s">
        <v>86</v>
      </c>
      <c r="R119" s="3">
        <f ca="1">SUM($T119:INDIRECT(ADDRESS(ROW(),SUMIFS($1:$1,$3:$3,MAX($3:$3)))))</f>
        <v>0</v>
      </c>
      <c r="U119" s="26"/>
      <c r="V119" s="26"/>
      <c r="W119" s="26"/>
      <c r="X119" s="26"/>
      <c r="Y119" s="26"/>
      <c r="Z119" s="26"/>
      <c r="AA119" s="26"/>
      <c r="AB119" s="26"/>
    </row>
    <row r="120" spans="2:28" x14ac:dyDescent="0.3">
      <c r="G120" s="1" t="str">
        <f t="shared" si="60"/>
        <v>Поступления по финансовой деятельности</v>
      </c>
      <c r="H120" s="1" t="s">
        <v>85</v>
      </c>
      <c r="R120" s="3">
        <f ca="1">SUM($T120:INDIRECT(ADDRESS(ROW(),SUMIFS($1:$1,$3:$3,MAX($3:$3)))))</f>
        <v>0</v>
      </c>
      <c r="U120" s="26"/>
      <c r="V120" s="26"/>
      <c r="W120" s="26"/>
      <c r="X120" s="26"/>
      <c r="Y120" s="26"/>
      <c r="Z120" s="26"/>
      <c r="AA120" s="26"/>
      <c r="AB120" s="26"/>
    </row>
    <row r="121" spans="2:28" x14ac:dyDescent="0.3">
      <c r="B121" s="10" t="str">
        <f>Lists!$F$9</f>
        <v>CF(-)</v>
      </c>
      <c r="G121" s="1" t="s">
        <v>87</v>
      </c>
      <c r="R121" s="3">
        <f ca="1">SUM($T121:INDIRECT(ADDRESS(ROW(),SUMIFS($1:$1,$3:$3,MAX($3:$3)))))</f>
        <v>0</v>
      </c>
      <c r="U121" s="26"/>
      <c r="V121" s="26"/>
      <c r="W121" s="26"/>
      <c r="X121" s="26"/>
      <c r="Y121" s="26"/>
      <c r="Z121" s="26"/>
      <c r="AA121" s="26"/>
      <c r="AB121" s="26"/>
    </row>
    <row r="122" spans="2:28" x14ac:dyDescent="0.3">
      <c r="G122" s="1" t="str">
        <f>$G$121</f>
        <v>Списания по финансовой деятельности</v>
      </c>
      <c r="H122" s="1" t="s">
        <v>88</v>
      </c>
      <c r="R122" s="3">
        <f ca="1">SUM($T122:INDIRECT(ADDRESS(ROW(),SUMIFS($1:$1,$3:$3,MAX($3:$3)))))</f>
        <v>0</v>
      </c>
      <c r="U122" s="26"/>
      <c r="V122" s="26"/>
      <c r="W122" s="26"/>
      <c r="X122" s="26"/>
      <c r="Y122" s="26"/>
      <c r="Z122" s="26"/>
      <c r="AA122" s="26"/>
      <c r="AB122" s="26"/>
    </row>
    <row r="123" spans="2:28" x14ac:dyDescent="0.3">
      <c r="G123" s="1" t="str">
        <f t="shared" ref="G123:G127" si="61">$G$121</f>
        <v>Списания по финансовой деятельности</v>
      </c>
      <c r="H123" s="1" t="s">
        <v>89</v>
      </c>
      <c r="R123" s="3">
        <f ca="1">SUM($T123:INDIRECT(ADDRESS(ROW(),SUMIFS($1:$1,$3:$3,MAX($3:$3)))))</f>
        <v>0</v>
      </c>
      <c r="U123" s="26"/>
      <c r="V123" s="26"/>
      <c r="W123" s="26"/>
      <c r="X123" s="26"/>
      <c r="Y123" s="26"/>
      <c r="Z123" s="26"/>
      <c r="AA123" s="26"/>
      <c r="AB123" s="26"/>
    </row>
    <row r="124" spans="2:28" x14ac:dyDescent="0.3">
      <c r="G124" s="1" t="str">
        <f t="shared" si="61"/>
        <v>Списания по финансовой деятельности</v>
      </c>
      <c r="H124" s="1" t="s">
        <v>90</v>
      </c>
      <c r="R124" s="3">
        <f ca="1">SUM($T124:INDIRECT(ADDRESS(ROW(),SUMIFS($1:$1,$3:$3,MAX($3:$3)))))</f>
        <v>0</v>
      </c>
      <c r="U124" s="26"/>
      <c r="V124" s="26"/>
      <c r="W124" s="26"/>
      <c r="X124" s="26"/>
      <c r="Y124" s="26"/>
      <c r="Z124" s="26"/>
      <c r="AA124" s="26"/>
      <c r="AB124" s="26"/>
    </row>
    <row r="125" spans="2:28" x14ac:dyDescent="0.3">
      <c r="G125" s="1" t="str">
        <f t="shared" si="61"/>
        <v>Списания по финансовой деятельности</v>
      </c>
      <c r="H125" s="1" t="s">
        <v>91</v>
      </c>
      <c r="R125" s="3">
        <f ca="1">SUM($T125:INDIRECT(ADDRESS(ROW(),SUMIFS($1:$1,$3:$3,MAX($3:$3)))))</f>
        <v>0</v>
      </c>
      <c r="U125" s="26"/>
      <c r="V125" s="26"/>
      <c r="W125" s="26"/>
      <c r="X125" s="26"/>
      <c r="Y125" s="26"/>
      <c r="Z125" s="26"/>
      <c r="AA125" s="26"/>
      <c r="AB125" s="26"/>
    </row>
    <row r="126" spans="2:28" x14ac:dyDescent="0.3">
      <c r="G126" s="1" t="str">
        <f t="shared" si="61"/>
        <v>Списания по финансовой деятельности</v>
      </c>
      <c r="H126" s="1" t="s">
        <v>92</v>
      </c>
      <c r="R126" s="3">
        <f ca="1">SUM($T126:INDIRECT(ADDRESS(ROW(),SUMIFS($1:$1,$3:$3,MAX($3:$3)))))</f>
        <v>0</v>
      </c>
      <c r="U126" s="26"/>
      <c r="V126" s="26"/>
      <c r="W126" s="26"/>
      <c r="X126" s="26"/>
      <c r="Y126" s="26"/>
      <c r="Z126" s="26"/>
      <c r="AA126" s="26"/>
      <c r="AB126" s="26"/>
    </row>
    <row r="127" spans="2:28" x14ac:dyDescent="0.3">
      <c r="G127" s="1" t="str">
        <f t="shared" si="61"/>
        <v>Списания по финансовой деятельности</v>
      </c>
      <c r="H127" s="1" t="s">
        <v>93</v>
      </c>
      <c r="R127" s="3">
        <f ca="1">SUM($T127:INDIRECT(ADDRESS(ROW(),SUMIFS($1:$1,$3:$3,MAX($3:$3)))))</f>
        <v>0</v>
      </c>
      <c r="U127" s="26"/>
      <c r="V127" s="26"/>
      <c r="W127" s="26"/>
      <c r="X127" s="26"/>
      <c r="Y127" s="26"/>
      <c r="Z127" s="26"/>
      <c r="AA127" s="26"/>
      <c r="AB127" s="26"/>
    </row>
    <row r="128" spans="2:28" s="19" customFormat="1" x14ac:dyDescent="0.3">
      <c r="B128" s="24" t="str">
        <f>Lists!$F$10</f>
        <v>CF</v>
      </c>
      <c r="G128" s="19" t="s">
        <v>94</v>
      </c>
      <c r="R128" s="20">
        <f ca="1">SUM($T128:INDIRECT(ADDRESS(ROW(),SUMIFS($1:$1,$3:$3,MAX($3:$3)))))</f>
        <v>50000000</v>
      </c>
      <c r="U128" s="20">
        <f>SUMIFS(U$112:U127,$B$112:$B127,Lists!$F$8)-SUMIFS(U$112:U127,$B$112:$B127,Lists!$F$9)</f>
        <v>50000000</v>
      </c>
      <c r="V128" s="20">
        <f>SUMIFS(V$112:V127,$B$112:$B127,Lists!$F$8)-SUMIFS(V$112:V127,$B$112:$B127,Lists!$F$9)</f>
        <v>0</v>
      </c>
      <c r="W128" s="20">
        <f>SUMIFS(W$112:W127,$B$112:$B127,Lists!$F$8)-SUMIFS(W$112:W127,$B$112:$B127,Lists!$F$9)</f>
        <v>0</v>
      </c>
      <c r="X128" s="20">
        <f>SUMIFS(X$112:X127,$B$112:$B127,Lists!$F$8)-SUMIFS(X$112:X127,$B$112:$B127,Lists!$F$9)</f>
        <v>0</v>
      </c>
      <c r="Y128" s="20">
        <f>SUMIFS(Y$112:Y127,$B$112:$B127,Lists!$F$8)-SUMIFS(Y$112:Y127,$B$112:$B127,Lists!$F$9)</f>
        <v>0</v>
      </c>
      <c r="Z128" s="20">
        <f>SUMIFS(Z$112:Z127,$B$112:$B127,Lists!$F$8)-SUMIFS(Z$112:Z127,$B$112:$B127,Lists!$F$9)</f>
        <v>0</v>
      </c>
      <c r="AA128" s="20">
        <f>SUMIFS(AA$112:AA127,$B$112:$B127,Lists!$F$8)-SUMIFS(AA$112:AA127,$B$112:$B127,Lists!$F$9)</f>
        <v>0</v>
      </c>
      <c r="AB128" s="20">
        <f>SUMIFS(AB$112:AB127,$B$112:$B127,Lists!$F$8)-SUMIFS(AB$112:AB127,$B$112:$B127,Lists!$F$9)</f>
        <v>0</v>
      </c>
    </row>
    <row r="129" spans="2:28" x14ac:dyDescent="0.3">
      <c r="B129" s="10" t="str">
        <f>Lists!$F$8</f>
        <v>CF(+)</v>
      </c>
      <c r="H129" s="1" t="s">
        <v>95</v>
      </c>
      <c r="R129" s="3">
        <f ca="1">SUM($T129:INDIRECT(ADDRESS(ROW(),SUMIFS($1:$1,$3:$3,MAX($3:$3)))))</f>
        <v>0</v>
      </c>
      <c r="U129" s="26"/>
      <c r="V129" s="26"/>
      <c r="W129" s="26"/>
      <c r="X129" s="26"/>
      <c r="Y129" s="26"/>
      <c r="Z129" s="26"/>
      <c r="AA129" s="26"/>
      <c r="AB129" s="26"/>
    </row>
    <row r="130" spans="2:28" x14ac:dyDescent="0.3">
      <c r="B130" s="10" t="str">
        <f>Lists!$F$9</f>
        <v>CF(-)</v>
      </c>
      <c r="H130" s="1" t="s">
        <v>96</v>
      </c>
      <c r="R130" s="3">
        <f ca="1">SUM($T130:INDIRECT(ADDRESS(ROW(),SUMIFS($1:$1,$3:$3,MAX($3:$3)))))</f>
        <v>0</v>
      </c>
      <c r="U130" s="26"/>
      <c r="V130" s="26"/>
      <c r="W130" s="26"/>
      <c r="X130" s="26"/>
      <c r="Y130" s="26"/>
      <c r="Z130" s="26"/>
      <c r="AA130" s="26"/>
      <c r="AB130" s="26"/>
    </row>
    <row r="131" spans="2:28" x14ac:dyDescent="0.3">
      <c r="H131" s="1" t="str">
        <f>$H$130</f>
        <v>Оплата процентов</v>
      </c>
      <c r="I131" s="1" t="s">
        <v>97</v>
      </c>
      <c r="R131" s="3">
        <f ca="1">SUM($T131:INDIRECT(ADDRESS(ROW(),SUMIFS($1:$1,$3:$3,MAX($3:$3)))))</f>
        <v>0</v>
      </c>
      <c r="U131" s="26"/>
      <c r="V131" s="26"/>
      <c r="W131" s="26"/>
      <c r="X131" s="26"/>
      <c r="Y131" s="26"/>
      <c r="Z131" s="26"/>
      <c r="AA131" s="26"/>
      <c r="AB131" s="26"/>
    </row>
    <row r="132" spans="2:28" x14ac:dyDescent="0.3">
      <c r="H132" s="1" t="str">
        <f t="shared" ref="H132:H133" si="62">$H$130</f>
        <v>Оплата процентов</v>
      </c>
      <c r="I132" s="1" t="s">
        <v>98</v>
      </c>
      <c r="R132" s="3">
        <f ca="1">SUM($T132:INDIRECT(ADDRESS(ROW(),SUMIFS($1:$1,$3:$3,MAX($3:$3)))))</f>
        <v>0</v>
      </c>
      <c r="U132" s="26"/>
      <c r="V132" s="26"/>
      <c r="W132" s="26"/>
      <c r="X132" s="26"/>
      <c r="Y132" s="26"/>
      <c r="Z132" s="26"/>
      <c r="AA132" s="26"/>
      <c r="AB132" s="26"/>
    </row>
    <row r="133" spans="2:28" x14ac:dyDescent="0.3">
      <c r="H133" s="1" t="str">
        <f t="shared" si="62"/>
        <v>Оплата процентов</v>
      </c>
      <c r="I133" s="1" t="s">
        <v>99</v>
      </c>
      <c r="R133" s="3">
        <f ca="1">SUM($T133:INDIRECT(ADDRESS(ROW(),SUMIFS($1:$1,$3:$3,MAX($3:$3)))))</f>
        <v>0</v>
      </c>
      <c r="U133" s="26"/>
      <c r="V133" s="26"/>
      <c r="W133" s="26"/>
      <c r="X133" s="26"/>
      <c r="Y133" s="26"/>
      <c r="Z133" s="26"/>
      <c r="AA133" s="26"/>
      <c r="AB133" s="26"/>
    </row>
    <row r="134" spans="2:28" x14ac:dyDescent="0.3">
      <c r="B134" s="10" t="str">
        <f>Lists!$F$9</f>
        <v>CF(-)</v>
      </c>
      <c r="H134" s="1" t="s">
        <v>100</v>
      </c>
      <c r="R134" s="3">
        <f ca="1">SUM($T134:INDIRECT(ADDRESS(ROW(),SUMIFS($1:$1,$3:$3,MAX($3:$3)))))</f>
        <v>0</v>
      </c>
      <c r="U134" s="26"/>
      <c r="V134" s="26"/>
      <c r="W134" s="26"/>
      <c r="X134" s="26"/>
      <c r="Y134" s="26"/>
      <c r="Z134" s="26"/>
      <c r="AA134" s="26"/>
      <c r="AB134" s="26"/>
    </row>
    <row r="135" spans="2:28" s="7" customFormat="1" x14ac:dyDescent="0.3">
      <c r="B135" s="24" t="str">
        <f>Lists!$F$10</f>
        <v>CF</v>
      </c>
      <c r="G135" s="7" t="s">
        <v>101</v>
      </c>
      <c r="R135" s="3">
        <f ca="1">SUM($T135:INDIRECT(ADDRESS(ROW(),SUMIFS($1:$1,$3:$3,MAX($3:$3)))))</f>
        <v>-111007375</v>
      </c>
      <c r="U135" s="3">
        <f ca="1">SUMIFS(U$86:U134,$B$86:$B134,Lists!$F$8)-SUMIFS(U$86:U134,$B$86:$B134,Lists!$F$9)-U128</f>
        <v>-12010000</v>
      </c>
      <c r="V135" s="3">
        <f ca="1">SUMIFS(V$86:V134,$B$86:$B134,Lists!$F$8)-SUMIFS(V$86:V134,$B$86:$B134,Lists!$F$9)-V128</f>
        <v>-16260000</v>
      </c>
      <c r="W135" s="3">
        <f ca="1">SUMIFS(W$86:W134,$B$86:$B134,Lists!$F$8)-SUMIFS(W$86:W134,$B$86:$B134,Lists!$F$9)-W128</f>
        <v>-13145000</v>
      </c>
      <c r="X135" s="3">
        <f ca="1">SUMIFS(X$86:X134,$B$86:$B134,Lists!$F$8)-SUMIFS(X$86:X134,$B$86:$B134,Lists!$F$9)-X128</f>
        <v>-5396800</v>
      </c>
      <c r="Y135" s="3">
        <f ca="1">SUMIFS(Y$86:Y134,$B$86:$B134,Lists!$F$8)-SUMIFS(Y$86:Y134,$B$86:$B134,Lists!$F$9)-Y128</f>
        <v>-15190500</v>
      </c>
      <c r="Z135" s="3">
        <f ca="1">SUMIFS(Z$86:Z134,$B$86:$B134,Lists!$F$8)-SUMIFS(Z$86:Z134,$B$86:$B134,Lists!$F$9)-Z128</f>
        <v>-20670075</v>
      </c>
      <c r="AA135" s="3">
        <f ca="1">SUMIFS(AA$86:AA134,$B$86:$B134,Lists!$F$8)-SUMIFS(AA$86:AA134,$B$86:$B134,Lists!$F$9)-AA128</f>
        <v>-16975000</v>
      </c>
      <c r="AB135" s="3">
        <f ca="1">SUMIFS(AB$86:AB134,$B$86:$B134,Lists!$F$8)-SUMIFS(AB$86:AB134,$B$86:$B134,Lists!$F$9)-AB128</f>
        <v>-11360000</v>
      </c>
    </row>
    <row r="136" spans="2:28" x14ac:dyDescent="0.3">
      <c r="H136" s="1" t="s">
        <v>103</v>
      </c>
      <c r="R136" s="3">
        <f ca="1">SUM($T136:INDIRECT(ADDRESS(ROW(),SUMIFS($1:$1,$3:$3,MAX($3:$3)))))</f>
        <v>0</v>
      </c>
      <c r="U136" s="26"/>
      <c r="V136" s="26"/>
      <c r="W136" s="26"/>
      <c r="X136" s="26"/>
      <c r="Y136" s="26"/>
      <c r="Z136" s="26"/>
      <c r="AA136" s="26"/>
      <c r="AB136" s="26"/>
    </row>
    <row r="137" spans="2:28" x14ac:dyDescent="0.3">
      <c r="H137" s="1" t="s">
        <v>102</v>
      </c>
      <c r="R137" s="3">
        <f ca="1">SUM($T137:INDIRECT(ADDRESS(ROW(),SUMIFS($1:$1,$3:$3,MAX($3:$3)))))</f>
        <v>0</v>
      </c>
      <c r="U137" s="26"/>
      <c r="V137" s="26"/>
      <c r="W137" s="26"/>
      <c r="X137" s="26"/>
      <c r="Y137" s="26"/>
      <c r="Z137" s="26"/>
      <c r="AA137" s="26"/>
      <c r="AB137" s="26"/>
    </row>
    <row r="138" spans="2:28" x14ac:dyDescent="0.3">
      <c r="H138" s="1" t="s">
        <v>104</v>
      </c>
      <c r="R138" s="3">
        <f ca="1">SUM($T138:INDIRECT(ADDRESS(ROW(),SUMIFS($1:$1,$3:$3,MAX($3:$3)))))</f>
        <v>0</v>
      </c>
      <c r="U138" s="26"/>
      <c r="V138" s="26"/>
      <c r="W138" s="26"/>
      <c r="X138" s="26"/>
      <c r="Y138" s="26"/>
      <c r="Z138" s="26"/>
      <c r="AA138" s="26"/>
      <c r="AB138" s="26"/>
    </row>
    <row r="139" spans="2:28" x14ac:dyDescent="0.3">
      <c r="H139" s="1" t="s">
        <v>105</v>
      </c>
      <c r="R139" s="3">
        <f ca="1">SUM($T139:INDIRECT(ADDRESS(ROW(),SUMIFS($1:$1,$3:$3,MAX($3:$3)))))</f>
        <v>0</v>
      </c>
      <c r="U139" s="26"/>
      <c r="V139" s="26"/>
      <c r="W139" s="26"/>
      <c r="X139" s="26"/>
      <c r="Y139" s="26"/>
      <c r="Z139" s="26"/>
      <c r="AA139" s="26"/>
      <c r="AB139" s="26"/>
    </row>
    <row r="140" spans="2:28" s="7" customFormat="1" x14ac:dyDescent="0.3">
      <c r="B140" s="24" t="str">
        <f>Lists!$F$10</f>
        <v>CF</v>
      </c>
      <c r="G140" s="7" t="s">
        <v>106</v>
      </c>
      <c r="R140" s="3">
        <f ca="1">SUM($T140:INDIRECT(ADDRESS(ROW(),SUMIFS($1:$1,$3:$3,MAX($3:$3)))))</f>
        <v>-61007375</v>
      </c>
      <c r="U140" s="3">
        <f ca="1">SUMIFS(U$86:U139,$B$86:$B139,Lists!$F$8)-SUMIFS(U$86:U139,$B$86:$B139,Lists!$F$9)</f>
        <v>37990000</v>
      </c>
      <c r="V140" s="3">
        <f ca="1">SUMIFS(V$86:V139,$B$86:$B139,Lists!$F$8)-SUMIFS(V$86:V139,$B$86:$B139,Lists!$F$9)</f>
        <v>-16260000</v>
      </c>
      <c r="W140" s="3">
        <f ca="1">SUMIFS(W$86:W139,$B$86:$B139,Lists!$F$8)-SUMIFS(W$86:W139,$B$86:$B139,Lists!$F$9)</f>
        <v>-13145000</v>
      </c>
      <c r="X140" s="3">
        <f ca="1">SUMIFS(X$86:X139,$B$86:$B139,Lists!$F$8)-SUMIFS(X$86:X139,$B$86:$B139,Lists!$F$9)</f>
        <v>-5396800</v>
      </c>
      <c r="Y140" s="3">
        <f ca="1">SUMIFS(Y$86:Y139,$B$86:$B139,Lists!$F$8)-SUMIFS(Y$86:Y139,$B$86:$B139,Lists!$F$9)</f>
        <v>-15190500</v>
      </c>
      <c r="Z140" s="3">
        <f ca="1">SUMIFS(Z$86:Z139,$B$86:$B139,Lists!$F$8)-SUMIFS(Z$86:Z139,$B$86:$B139,Lists!$F$9)</f>
        <v>-20670075</v>
      </c>
      <c r="AA140" s="3">
        <f ca="1">SUMIFS(AA$86:AA139,$B$86:$B139,Lists!$F$8)-SUMIFS(AA$86:AA139,$B$86:$B139,Lists!$F$9)</f>
        <v>-16975000</v>
      </c>
      <c r="AB140" s="3">
        <f ca="1">SUMIFS(AB$86:AB139,$B$86:$B139,Lists!$F$8)-SUMIFS(AB$86:AB139,$B$86:$B139,Lists!$F$9)</f>
        <v>-11360000</v>
      </c>
    </row>
    <row r="141" spans="2:28" x14ac:dyDescent="0.3">
      <c r="G141" s="1" t="s">
        <v>107</v>
      </c>
      <c r="R141" s="3">
        <f ca="1">INDIRECT(ADDRESS(ROW(),SUMIFS($1:$1,$3:$3,MAX($3:$3))))</f>
        <v>-61007375</v>
      </c>
      <c r="U141" s="2">
        <f ca="1">SUM($T140:U140)</f>
        <v>37990000</v>
      </c>
      <c r="V141" s="2">
        <f ca="1">SUM($T140:V140)</f>
        <v>21730000</v>
      </c>
      <c r="W141" s="2">
        <f ca="1">SUM($T140:W140)</f>
        <v>8585000</v>
      </c>
      <c r="X141" s="2">
        <f ca="1">SUM($T140:X140)</f>
        <v>3188200</v>
      </c>
      <c r="Y141" s="2">
        <f ca="1">SUM($T140:Y140)</f>
        <v>-12002300</v>
      </c>
      <c r="Z141" s="2">
        <f ca="1">SUM($T140:Z140)</f>
        <v>-32672375</v>
      </c>
      <c r="AA141" s="2">
        <f ca="1">SUM($T140:AA140)</f>
        <v>-49647375</v>
      </c>
      <c r="AB141" s="2">
        <f ca="1">SUM($T140:AB140)</f>
        <v>-61007375</v>
      </c>
    </row>
    <row r="142" spans="2:28" ht="4.95" customHeight="1" x14ac:dyDescent="0.3"/>
    <row r="144" spans="2:28" s="7" customFormat="1" x14ac:dyDescent="0.3">
      <c r="B144" s="24"/>
      <c r="E144" s="7" t="s">
        <v>108</v>
      </c>
      <c r="R144" s="3"/>
      <c r="U144" s="3"/>
      <c r="V144" s="3"/>
      <c r="W144" s="3"/>
      <c r="X144" s="3"/>
      <c r="Y144" s="3"/>
      <c r="Z144" s="3"/>
      <c r="AA144" s="3"/>
      <c r="AB144" s="3"/>
    </row>
    <row r="145" spans="2:28" ht="4.95" customHeight="1" x14ac:dyDescent="0.3"/>
    <row r="146" spans="2:28" x14ac:dyDescent="0.3">
      <c r="B146" s="10" t="str">
        <f>Lists!$F$11</f>
        <v>PL(+)</v>
      </c>
      <c r="G146" s="1" t="s">
        <v>109</v>
      </c>
      <c r="R146" s="3">
        <f ca="1">SUM($T146:INDIRECT(ADDRESS(ROW(),SUMIFS($1:$1,$3:$3,MAX($3:$3)))))</f>
        <v>1825000</v>
      </c>
      <c r="U146" s="26"/>
      <c r="V146" s="26"/>
      <c r="W146" s="26"/>
      <c r="X146" s="26">
        <v>120000</v>
      </c>
      <c r="Y146" s="26">
        <v>700000</v>
      </c>
      <c r="Z146" s="26">
        <v>5000</v>
      </c>
      <c r="AA146" s="26">
        <v>1000000</v>
      </c>
      <c r="AB146" s="26"/>
    </row>
    <row r="147" spans="2:28" x14ac:dyDescent="0.3">
      <c r="B147" s="10" t="str">
        <f>Lists!$F$12</f>
        <v>PL(-)</v>
      </c>
      <c r="G147" s="1" t="s">
        <v>110</v>
      </c>
      <c r="R147" s="3">
        <f ca="1">SUM($T147:INDIRECT(ADDRESS(ROW(),SUMIFS($1:$1,$3:$3,MAX($3:$3)))))</f>
        <v>70000</v>
      </c>
      <c r="U147" s="26"/>
      <c r="V147" s="26"/>
      <c r="W147" s="26"/>
      <c r="X147" s="26">
        <v>70000</v>
      </c>
      <c r="Y147" s="26"/>
      <c r="Z147" s="26"/>
      <c r="AA147" s="26"/>
      <c r="AB147" s="26"/>
    </row>
    <row r="148" spans="2:28" s="7" customFormat="1" x14ac:dyDescent="0.3">
      <c r="B148" s="24" t="str">
        <f>Lists!$F$13</f>
        <v>PL</v>
      </c>
      <c r="G148" s="7" t="s">
        <v>111</v>
      </c>
      <c r="R148" s="3">
        <f ca="1">SUM($T148:INDIRECT(ADDRESS(ROW(),SUMIFS($1:$1,$3:$3,MAX($3:$3)))))</f>
        <v>1755000</v>
      </c>
      <c r="U148" s="3">
        <f>SUMIFS(U$145:U147,$B$145:$B147,Lists!$F$11)-SUMIFS(U$145:U147,$B$145:$B147,Lists!$F$12)</f>
        <v>0</v>
      </c>
      <c r="V148" s="3">
        <f>SUMIFS(V$145:V147,$B$145:$B147,Lists!$F$11)-SUMIFS(V$145:V147,$B$145:$B147,Lists!$F$12)</f>
        <v>0</v>
      </c>
      <c r="W148" s="3">
        <f>SUMIFS(W$145:W147,$B$145:$B147,Lists!$F$11)-SUMIFS(W$145:W147,$B$145:$B147,Lists!$F$12)</f>
        <v>0</v>
      </c>
      <c r="X148" s="3">
        <f>SUMIFS(X$145:X147,$B$145:$B147,Lists!$F$11)-SUMIFS(X$145:X147,$B$145:$B147,Lists!$F$12)</f>
        <v>50000</v>
      </c>
      <c r="Y148" s="3">
        <f>SUMIFS(Y$145:Y147,$B$145:$B147,Lists!$F$11)-SUMIFS(Y$145:Y147,$B$145:$B147,Lists!$F$12)</f>
        <v>700000</v>
      </c>
      <c r="Z148" s="3">
        <f>SUMIFS(Z$145:Z147,$B$145:$B147,Lists!$F$11)-SUMIFS(Z$145:Z147,$B$145:$B147,Lists!$F$12)</f>
        <v>5000</v>
      </c>
      <c r="AA148" s="3">
        <f>SUMIFS(AA$145:AA147,$B$145:$B147,Lists!$F$11)-SUMIFS(AA$145:AA147,$B$145:$B147,Lists!$F$12)</f>
        <v>1000000</v>
      </c>
      <c r="AB148" s="3">
        <f>SUMIFS(AB$145:AB147,$B$145:$B147,Lists!$F$11)-SUMIFS(AB$145:AB147,$B$145:$B147,Lists!$F$12)</f>
        <v>0</v>
      </c>
    </row>
    <row r="149" spans="2:28" x14ac:dyDescent="0.3">
      <c r="B149" s="10" t="str">
        <f>Lists!$F$12</f>
        <v>PL(-)</v>
      </c>
      <c r="G149" s="1" t="s">
        <v>112</v>
      </c>
      <c r="R149" s="3">
        <f ca="1">SUM($T149:INDIRECT(ADDRESS(ROW(),SUMIFS($1:$1,$3:$3,MAX($3:$3)))))</f>
        <v>0</v>
      </c>
      <c r="U149" s="26"/>
      <c r="V149" s="26"/>
      <c r="W149" s="26"/>
      <c r="X149" s="26"/>
      <c r="Y149" s="26"/>
      <c r="Z149" s="26"/>
      <c r="AA149" s="26"/>
      <c r="AB149" s="26"/>
    </row>
    <row r="150" spans="2:28" s="7" customFormat="1" x14ac:dyDescent="0.3">
      <c r="B150" s="24" t="str">
        <f>Lists!$F$13</f>
        <v>PL</v>
      </c>
      <c r="G150" s="7" t="s">
        <v>113</v>
      </c>
      <c r="R150" s="3">
        <f ca="1">SUM($T150:INDIRECT(ADDRESS(ROW(),SUMIFS($1:$1,$3:$3,MAX($3:$3)))))</f>
        <v>0</v>
      </c>
      <c r="U150" s="26"/>
      <c r="V150" s="26"/>
      <c r="W150" s="26"/>
      <c r="X150" s="26"/>
      <c r="Y150" s="26"/>
      <c r="Z150" s="26"/>
      <c r="AA150" s="26"/>
      <c r="AB150" s="26"/>
    </row>
    <row r="151" spans="2:28" x14ac:dyDescent="0.3">
      <c r="B151" s="10" t="str">
        <f>Lists!$F$12</f>
        <v>PL(-)</v>
      </c>
      <c r="G151" s="1" t="s">
        <v>114</v>
      </c>
      <c r="R151" s="3">
        <f ca="1">SUM($T151:INDIRECT(ADDRESS(ROW(),SUMIFS($1:$1,$3:$3,MAX($3:$3)))))</f>
        <v>1307375</v>
      </c>
      <c r="U151" s="26">
        <f>SUM(U152:U156)</f>
        <v>160000</v>
      </c>
      <c r="V151" s="26">
        <f t="shared" ref="V151:AB151" si="63">SUM(V152:V156)</f>
        <v>160000</v>
      </c>
      <c r="W151" s="26">
        <f t="shared" si="63"/>
        <v>160000</v>
      </c>
      <c r="X151" s="26">
        <f t="shared" si="63"/>
        <v>161800</v>
      </c>
      <c r="Y151" s="26">
        <f t="shared" si="63"/>
        <v>170500</v>
      </c>
      <c r="Z151" s="26">
        <f t="shared" si="63"/>
        <v>160075</v>
      </c>
      <c r="AA151" s="26">
        <f t="shared" si="63"/>
        <v>175000</v>
      </c>
      <c r="AB151" s="26">
        <f t="shared" si="63"/>
        <v>160000</v>
      </c>
    </row>
    <row r="152" spans="2:28" s="4" customFormat="1" ht="12" x14ac:dyDescent="0.25">
      <c r="B152" s="30"/>
      <c r="G152" s="31" t="str">
        <f>G151</f>
        <v>Операционные расходы на содержание бизнеса</v>
      </c>
      <c r="H152" s="4" t="str">
        <f>Lists!J8</f>
        <v>Аренда офиса</v>
      </c>
      <c r="L152" s="33">
        <v>100000</v>
      </c>
      <c r="M152" s="38"/>
      <c r="R152" s="32">
        <f ca="1">SUM($T152:INDIRECT(ADDRESS(ROW(),SUMIFS($1:$1,$3:$3,MAX($3:$3)))))</f>
        <v>800000</v>
      </c>
      <c r="U152" s="33">
        <f>IF($L152=0,$M152*U$146,$L152)</f>
        <v>100000</v>
      </c>
      <c r="V152" s="33">
        <f t="shared" ref="V152:AB152" si="64">IF($L152=0,$M152*V$146,$L152)</f>
        <v>100000</v>
      </c>
      <c r="W152" s="33">
        <f t="shared" si="64"/>
        <v>100000</v>
      </c>
      <c r="X152" s="33">
        <f t="shared" si="64"/>
        <v>100000</v>
      </c>
      <c r="Y152" s="33">
        <f t="shared" si="64"/>
        <v>100000</v>
      </c>
      <c r="Z152" s="33">
        <f t="shared" si="64"/>
        <v>100000</v>
      </c>
      <c r="AA152" s="33">
        <f t="shared" si="64"/>
        <v>100000</v>
      </c>
      <c r="AB152" s="33">
        <f t="shared" si="64"/>
        <v>100000</v>
      </c>
    </row>
    <row r="153" spans="2:28" s="4" customFormat="1" ht="12" x14ac:dyDescent="0.25">
      <c r="B153" s="30"/>
      <c r="G153" s="31" t="str">
        <f>G151</f>
        <v>Операционные расходы на содержание бизнеса</v>
      </c>
      <c r="H153" s="4" t="str">
        <f>Lists!J9</f>
        <v>Расходы на персонал</v>
      </c>
      <c r="L153" s="33"/>
      <c r="M153" s="38">
        <v>5.0000000000000001E-3</v>
      </c>
      <c r="R153" s="32">
        <f ca="1">SUM($T153:INDIRECT(ADDRESS(ROW(),SUMIFS($1:$1,$3:$3,MAX($3:$3)))))</f>
        <v>9125</v>
      </c>
      <c r="U153" s="33">
        <f t="shared" ref="U153:AB156" si="65">IF($L153=0,$M153*U$146,$L153)</f>
        <v>0</v>
      </c>
      <c r="V153" s="33">
        <f t="shared" si="65"/>
        <v>0</v>
      </c>
      <c r="W153" s="33">
        <f t="shared" si="65"/>
        <v>0</v>
      </c>
      <c r="X153" s="33">
        <f t="shared" si="65"/>
        <v>600</v>
      </c>
      <c r="Y153" s="33">
        <f t="shared" si="65"/>
        <v>3500</v>
      </c>
      <c r="Z153" s="33">
        <f t="shared" si="65"/>
        <v>25</v>
      </c>
      <c r="AA153" s="33">
        <f t="shared" si="65"/>
        <v>5000</v>
      </c>
      <c r="AB153" s="33">
        <f t="shared" si="65"/>
        <v>0</v>
      </c>
    </row>
    <row r="154" spans="2:28" s="4" customFormat="1" ht="12" x14ac:dyDescent="0.25">
      <c r="B154" s="30"/>
      <c r="G154" s="31" t="str">
        <f>G151</f>
        <v>Операционные расходы на содержание бизнеса</v>
      </c>
      <c r="H154" s="4" t="str">
        <f>Lists!J10</f>
        <v>Содержагние сайта</v>
      </c>
      <c r="L154" s="33">
        <v>10000</v>
      </c>
      <c r="M154" s="38"/>
      <c r="R154" s="32">
        <f ca="1">SUM($T154:INDIRECT(ADDRESS(ROW(),SUMIFS($1:$1,$3:$3,MAX($3:$3)))))</f>
        <v>80000</v>
      </c>
      <c r="U154" s="33">
        <f t="shared" si="65"/>
        <v>10000</v>
      </c>
      <c r="V154" s="33">
        <f t="shared" si="65"/>
        <v>10000</v>
      </c>
      <c r="W154" s="33">
        <f t="shared" si="65"/>
        <v>10000</v>
      </c>
      <c r="X154" s="33">
        <f t="shared" si="65"/>
        <v>10000</v>
      </c>
      <c r="Y154" s="33">
        <f t="shared" si="65"/>
        <v>10000</v>
      </c>
      <c r="Z154" s="33">
        <f t="shared" si="65"/>
        <v>10000</v>
      </c>
      <c r="AA154" s="33">
        <f t="shared" si="65"/>
        <v>10000</v>
      </c>
      <c r="AB154" s="33">
        <f t="shared" si="65"/>
        <v>10000</v>
      </c>
    </row>
    <row r="155" spans="2:28" s="4" customFormat="1" ht="12" x14ac:dyDescent="0.25">
      <c r="B155" s="30"/>
      <c r="G155" s="31" t="str">
        <f>G151</f>
        <v>Операционные расходы на содержание бизнеса</v>
      </c>
      <c r="H155" s="4" t="str">
        <f>Lists!J11</f>
        <v>Реклама</v>
      </c>
      <c r="L155" s="33"/>
      <c r="M155" s="38">
        <v>0.01</v>
      </c>
      <c r="R155" s="32">
        <f ca="1">SUM($T155:INDIRECT(ADDRESS(ROW(),SUMIFS($1:$1,$3:$3,MAX($3:$3)))))</f>
        <v>18250</v>
      </c>
      <c r="U155" s="33">
        <f t="shared" si="65"/>
        <v>0</v>
      </c>
      <c r="V155" s="33">
        <f t="shared" si="65"/>
        <v>0</v>
      </c>
      <c r="W155" s="33">
        <f t="shared" si="65"/>
        <v>0</v>
      </c>
      <c r="X155" s="33">
        <f t="shared" si="65"/>
        <v>1200</v>
      </c>
      <c r="Y155" s="33">
        <f t="shared" si="65"/>
        <v>7000</v>
      </c>
      <c r="Z155" s="33">
        <f t="shared" si="65"/>
        <v>50</v>
      </c>
      <c r="AA155" s="33">
        <f t="shared" si="65"/>
        <v>10000</v>
      </c>
      <c r="AB155" s="33">
        <f t="shared" si="65"/>
        <v>0</v>
      </c>
    </row>
    <row r="156" spans="2:28" s="4" customFormat="1" ht="12" x14ac:dyDescent="0.25">
      <c r="B156" s="30"/>
      <c r="G156" s="31" t="str">
        <f>G151</f>
        <v>Операционные расходы на содержание бизнеса</v>
      </c>
      <c r="H156" s="4" t="str">
        <f>Lists!J12</f>
        <v>Содержание и ремонты помещений</v>
      </c>
      <c r="L156" s="33">
        <v>50000</v>
      </c>
      <c r="M156" s="38"/>
      <c r="R156" s="32">
        <f ca="1">SUM($T156:INDIRECT(ADDRESS(ROW(),SUMIFS($1:$1,$3:$3,MAX($3:$3)))))</f>
        <v>400000</v>
      </c>
      <c r="U156" s="33">
        <f t="shared" si="65"/>
        <v>50000</v>
      </c>
      <c r="V156" s="33">
        <f t="shared" si="65"/>
        <v>50000</v>
      </c>
      <c r="W156" s="33">
        <f t="shared" si="65"/>
        <v>50000</v>
      </c>
      <c r="X156" s="33">
        <f t="shared" si="65"/>
        <v>50000</v>
      </c>
      <c r="Y156" s="33">
        <f t="shared" si="65"/>
        <v>50000</v>
      </c>
      <c r="Z156" s="33">
        <f t="shared" si="65"/>
        <v>50000</v>
      </c>
      <c r="AA156" s="33">
        <f t="shared" si="65"/>
        <v>50000</v>
      </c>
      <c r="AB156" s="33">
        <f t="shared" si="65"/>
        <v>50000</v>
      </c>
    </row>
    <row r="157" spans="2:28" x14ac:dyDescent="0.3">
      <c r="B157" s="10" t="str">
        <f>Lists!$F$12</f>
        <v>PL(-)</v>
      </c>
      <c r="G157" s="1" t="s">
        <v>115</v>
      </c>
      <c r="R157" s="3">
        <f ca="1">SUM($T157:INDIRECT(ADDRESS(ROW(),SUMIFS($1:$1,$3:$3,MAX($3:$3)))))</f>
        <v>0</v>
      </c>
      <c r="U157" s="26"/>
      <c r="V157" s="26"/>
      <c r="W157" s="26"/>
      <c r="X157" s="26"/>
      <c r="Y157" s="26"/>
      <c r="Z157" s="26"/>
      <c r="AA157" s="26"/>
      <c r="AB157" s="26"/>
    </row>
    <row r="158" spans="2:28" x14ac:dyDescent="0.3">
      <c r="B158" s="10" t="str">
        <f>Lists!$F$12</f>
        <v>PL(-)</v>
      </c>
      <c r="G158" s="1" t="s">
        <v>116</v>
      </c>
      <c r="R158" s="3">
        <f ca="1">SUM($T158:INDIRECT(ADDRESS(ROW(),SUMIFS($1:$1,$3:$3,MAX($3:$3)))))</f>
        <v>0</v>
      </c>
      <c r="U158" s="26"/>
      <c r="V158" s="26"/>
      <c r="W158" s="26"/>
      <c r="X158" s="26"/>
      <c r="Y158" s="26"/>
      <c r="Z158" s="26"/>
      <c r="AA158" s="26"/>
      <c r="AB158" s="26"/>
    </row>
    <row r="159" spans="2:28" s="7" customFormat="1" x14ac:dyDescent="0.3">
      <c r="B159" s="24" t="str">
        <f>Lists!$F$13</f>
        <v>PL</v>
      </c>
      <c r="G159" s="7" t="s">
        <v>117</v>
      </c>
      <c r="R159" s="3">
        <f ca="1">SUM($T159:INDIRECT(ADDRESS(ROW(),SUMIFS($1:$1,$3:$3,MAX($3:$3)))))</f>
        <v>447625</v>
      </c>
      <c r="U159" s="3">
        <f>SUMIFS(U$145:U158,$B$145:$B158,Lists!$F$11)-SUMIFS(U$145:U158,$B$145:$B158,Lists!$F$12)</f>
        <v>-160000</v>
      </c>
      <c r="V159" s="3">
        <f>SUMIFS(V$145:V158,$B$145:$B158,Lists!$F$11)-SUMIFS(V$145:V158,$B$145:$B158,Lists!$F$12)</f>
        <v>-160000</v>
      </c>
      <c r="W159" s="3">
        <f>SUMIFS(W$145:W158,$B$145:$B158,Lists!$F$11)-SUMIFS(W$145:W158,$B$145:$B158,Lists!$F$12)</f>
        <v>-160000</v>
      </c>
      <c r="X159" s="3">
        <f>SUMIFS(X$145:X158,$B$145:$B158,Lists!$F$11)-SUMIFS(X$145:X158,$B$145:$B158,Lists!$F$12)</f>
        <v>-111800</v>
      </c>
      <c r="Y159" s="3">
        <f>SUMIFS(Y$145:Y158,$B$145:$B158,Lists!$F$11)-SUMIFS(Y$145:Y158,$B$145:$B158,Lists!$F$12)</f>
        <v>529500</v>
      </c>
      <c r="Z159" s="3">
        <f>SUMIFS(Z$145:Z158,$B$145:$B158,Lists!$F$11)-SUMIFS(Z$145:Z158,$B$145:$B158,Lists!$F$12)</f>
        <v>-155075</v>
      </c>
      <c r="AA159" s="3">
        <f>SUMIFS(AA$145:AA158,$B$145:$B158,Lists!$F$11)-SUMIFS(AA$145:AA158,$B$145:$B158,Lists!$F$12)</f>
        <v>825000</v>
      </c>
      <c r="AB159" s="3">
        <f>SUMIFS(AB$145:AB158,$B$145:$B158,Lists!$F$11)-SUMIFS(AB$145:AB158,$B$145:$B158,Lists!$F$12)</f>
        <v>-160000</v>
      </c>
    </row>
    <row r="160" spans="2:28" x14ac:dyDescent="0.3">
      <c r="B160" s="10" t="str">
        <f>Lists!$F$11</f>
        <v>PL(+)</v>
      </c>
      <c r="G160" s="1" t="s">
        <v>118</v>
      </c>
      <c r="R160" s="3">
        <f ca="1">SUM($T160:INDIRECT(ADDRESS(ROW(),SUMIFS($1:$1,$3:$3,MAX($3:$3)))))</f>
        <v>0</v>
      </c>
      <c r="U160" s="26">
        <f>SUM(U161:U163)</f>
        <v>0</v>
      </c>
      <c r="V160" s="26">
        <f t="shared" ref="V160" si="66">SUM(V161:V163)</f>
        <v>0</v>
      </c>
      <c r="W160" s="26">
        <f t="shared" ref="W160" si="67">SUM(W161:W163)</f>
        <v>0</v>
      </c>
      <c r="X160" s="26">
        <f t="shared" ref="X160" si="68">SUM(X161:X163)</f>
        <v>0</v>
      </c>
      <c r="Y160" s="26">
        <f t="shared" ref="Y160" si="69">SUM(Y161:Y163)</f>
        <v>0</v>
      </c>
      <c r="Z160" s="26">
        <f t="shared" ref="Z160" si="70">SUM(Z161:Z163)</f>
        <v>0</v>
      </c>
      <c r="AA160" s="26">
        <f t="shared" ref="AA160" si="71">SUM(AA161:AA163)</f>
        <v>0</v>
      </c>
      <c r="AB160" s="26">
        <f t="shared" ref="AB160" si="72">SUM(AB161:AB163)</f>
        <v>0</v>
      </c>
    </row>
    <row r="161" spans="2:28" s="4" customFormat="1" ht="12" x14ac:dyDescent="0.25">
      <c r="B161" s="30"/>
      <c r="G161" s="31" t="str">
        <f>G160</f>
        <v>Выбытия ОС</v>
      </c>
      <c r="H161" s="4" t="str">
        <f>Lists!$H$8</f>
        <v>Производственные цеха</v>
      </c>
      <c r="R161" s="32">
        <f ca="1">SUM($T161:INDIRECT(ADDRESS(ROW(),SUMIFS($1:$1,$3:$3,MAX($3:$3)))))</f>
        <v>0</v>
      </c>
      <c r="U161" s="33">
        <f>SUMIFS(CAPEX!U:U,CAPEX!$G:$G,$G161,CAPEX!$H:$H,$H161)</f>
        <v>0</v>
      </c>
      <c r="V161" s="33">
        <f>SUMIFS(CAPEX!V:V,CAPEX!$G:$G,$G161,CAPEX!$H:$H,$H161)</f>
        <v>0</v>
      </c>
      <c r="W161" s="33">
        <f>SUMIFS(CAPEX!W:W,CAPEX!$G:$G,$G161,CAPEX!$H:$H,$H161)</f>
        <v>0</v>
      </c>
      <c r="X161" s="33">
        <f>SUMIFS(CAPEX!X:X,CAPEX!$G:$G,$G161,CAPEX!$H:$H,$H161)</f>
        <v>0</v>
      </c>
      <c r="Y161" s="33">
        <f>SUMIFS(CAPEX!Y:Y,CAPEX!$G:$G,$G161,CAPEX!$H:$H,$H161)</f>
        <v>0</v>
      </c>
      <c r="Z161" s="33">
        <f>SUMIFS(CAPEX!Z:Z,CAPEX!$G:$G,$G161,CAPEX!$H:$H,$H161)</f>
        <v>0</v>
      </c>
      <c r="AA161" s="33">
        <f>SUMIFS(CAPEX!AA:AA,CAPEX!$G:$G,$G161,CAPEX!$H:$H,$H161)</f>
        <v>0</v>
      </c>
      <c r="AB161" s="33">
        <f>SUMIFS(CAPEX!AB:AB,CAPEX!$G:$G,$G161,CAPEX!$H:$H,$H161)</f>
        <v>0</v>
      </c>
    </row>
    <row r="162" spans="2:28" s="4" customFormat="1" ht="12" x14ac:dyDescent="0.25">
      <c r="B162" s="30"/>
      <c r="G162" s="31" t="str">
        <f>G160</f>
        <v>Выбытия ОС</v>
      </c>
      <c r="H162" s="4" t="str">
        <f>Lists!$H$9</f>
        <v>Торговые точки</v>
      </c>
      <c r="R162" s="32">
        <f ca="1">SUM($T162:INDIRECT(ADDRESS(ROW(),SUMIFS($1:$1,$3:$3,MAX($3:$3)))))</f>
        <v>0</v>
      </c>
      <c r="U162" s="33">
        <f>SUMIFS(CAPEX!U:U,CAPEX!$G:$G,$G162,CAPEX!$H:$H,$H162)</f>
        <v>0</v>
      </c>
      <c r="V162" s="33">
        <f>SUMIFS(CAPEX!V:V,CAPEX!$G:$G,$G162,CAPEX!$H:$H,$H162)</f>
        <v>0</v>
      </c>
      <c r="W162" s="33">
        <f>SUMIFS(CAPEX!W:W,CAPEX!$G:$G,$G162,CAPEX!$H:$H,$H162)</f>
        <v>0</v>
      </c>
      <c r="X162" s="33">
        <f>SUMIFS(CAPEX!X:X,CAPEX!$G:$G,$G162,CAPEX!$H:$H,$H162)</f>
        <v>0</v>
      </c>
      <c r="Y162" s="33">
        <f>SUMIFS(CAPEX!Y:Y,CAPEX!$G:$G,$G162,CAPEX!$H:$H,$H162)</f>
        <v>0</v>
      </c>
      <c r="Z162" s="33">
        <f>SUMIFS(CAPEX!Z:Z,CAPEX!$G:$G,$G162,CAPEX!$H:$H,$H162)</f>
        <v>0</v>
      </c>
      <c r="AA162" s="33">
        <f>SUMIFS(CAPEX!AA:AA,CAPEX!$G:$G,$G162,CAPEX!$H:$H,$H162)</f>
        <v>0</v>
      </c>
      <c r="AB162" s="33">
        <f>SUMIFS(CAPEX!AB:AB,CAPEX!$G:$G,$G162,CAPEX!$H:$H,$H162)</f>
        <v>0</v>
      </c>
    </row>
    <row r="163" spans="2:28" s="4" customFormat="1" ht="12" x14ac:dyDescent="0.25">
      <c r="B163" s="30"/>
      <c r="G163" s="31" t="str">
        <f>G160</f>
        <v>Выбытия ОС</v>
      </c>
      <c r="H163" s="4" t="str">
        <f>Lists!$H$10</f>
        <v>Инфраструктура для e-Comm</v>
      </c>
      <c r="R163" s="32">
        <f ca="1">SUM($T163:INDIRECT(ADDRESS(ROW(),SUMIFS($1:$1,$3:$3,MAX($3:$3)))))</f>
        <v>0</v>
      </c>
      <c r="U163" s="33">
        <f>SUMIFS(CAPEX!U:U,CAPEX!$G:$G,$G163,CAPEX!$H:$H,$H163)</f>
        <v>0</v>
      </c>
      <c r="V163" s="33">
        <f>SUMIFS(CAPEX!V:V,CAPEX!$G:$G,$G163,CAPEX!$H:$H,$H163)</f>
        <v>0</v>
      </c>
      <c r="W163" s="33">
        <f>SUMIFS(CAPEX!W:W,CAPEX!$G:$G,$G163,CAPEX!$H:$H,$H163)</f>
        <v>0</v>
      </c>
      <c r="X163" s="33">
        <f>SUMIFS(CAPEX!X:X,CAPEX!$G:$G,$G163,CAPEX!$H:$H,$H163)</f>
        <v>0</v>
      </c>
      <c r="Y163" s="33">
        <f>SUMIFS(CAPEX!Y:Y,CAPEX!$G:$G,$G163,CAPEX!$H:$H,$H163)</f>
        <v>0</v>
      </c>
      <c r="Z163" s="33">
        <f>SUMIFS(CAPEX!Z:Z,CAPEX!$G:$G,$G163,CAPEX!$H:$H,$H163)</f>
        <v>0</v>
      </c>
      <c r="AA163" s="33">
        <f>SUMIFS(CAPEX!AA:AA,CAPEX!$G:$G,$G163,CAPEX!$H:$H,$H163)</f>
        <v>0</v>
      </c>
      <c r="AB163" s="33">
        <f>SUMIFS(CAPEX!AB:AB,CAPEX!$G:$G,$G163,CAPEX!$H:$H,$H163)</f>
        <v>0</v>
      </c>
    </row>
    <row r="164" spans="2:28" x14ac:dyDescent="0.3">
      <c r="B164" s="10" t="str">
        <f>Lists!$F$11</f>
        <v>PL(+)</v>
      </c>
      <c r="G164" s="1" t="s">
        <v>119</v>
      </c>
      <c r="R164" s="3">
        <f ca="1">SUM($T164:INDIRECT(ADDRESS(ROW(),SUMIFS($1:$1,$3:$3,MAX($3:$3)))))</f>
        <v>0</v>
      </c>
      <c r="U164" s="26">
        <f>SUM(U165:U167)</f>
        <v>0</v>
      </c>
      <c r="V164" s="26">
        <f t="shared" ref="V164" si="73">SUM(V165:V167)</f>
        <v>0</v>
      </c>
      <c r="W164" s="26">
        <f t="shared" ref="W164" si="74">SUM(W165:W167)</f>
        <v>0</v>
      </c>
      <c r="X164" s="26">
        <f t="shared" ref="X164" si="75">SUM(X165:X167)</f>
        <v>0</v>
      </c>
      <c r="Y164" s="26">
        <f t="shared" ref="Y164" si="76">SUM(Y165:Y167)</f>
        <v>0</v>
      </c>
      <c r="Z164" s="26">
        <f t="shared" ref="Z164" si="77">SUM(Z165:Z167)</f>
        <v>0</v>
      </c>
      <c r="AA164" s="26">
        <f t="shared" ref="AA164" si="78">SUM(AA165:AA167)</f>
        <v>0</v>
      </c>
      <c r="AB164" s="26">
        <f t="shared" ref="AB164" si="79">SUM(AB165:AB167)</f>
        <v>0</v>
      </c>
    </row>
    <row r="165" spans="2:28" s="4" customFormat="1" ht="12" x14ac:dyDescent="0.25">
      <c r="B165" s="30"/>
      <c r="G165" s="31" t="str">
        <f>G164</f>
        <v>Выбытия незавершенных капзатрат</v>
      </c>
      <c r="H165" s="4" t="str">
        <f>Lists!$H$8</f>
        <v>Производственные цеха</v>
      </c>
      <c r="R165" s="32">
        <f ca="1">SUM($T165:INDIRECT(ADDRESS(ROW(),SUMIFS($1:$1,$3:$3,MAX($3:$3)))))</f>
        <v>0</v>
      </c>
      <c r="U165" s="33">
        <f>SUMIFS(CAPEX!U:U,CAPEX!$G:$G,$G165,CAPEX!$H:$H,$H165)</f>
        <v>0</v>
      </c>
      <c r="V165" s="33">
        <f>SUMIFS(CAPEX!V:V,CAPEX!$G:$G,$G165,CAPEX!$H:$H,$H165)</f>
        <v>0</v>
      </c>
      <c r="W165" s="33">
        <f>SUMIFS(CAPEX!W:W,CAPEX!$G:$G,$G165,CAPEX!$H:$H,$H165)</f>
        <v>0</v>
      </c>
      <c r="X165" s="33">
        <f>SUMIFS(CAPEX!X:X,CAPEX!$G:$G,$G165,CAPEX!$H:$H,$H165)</f>
        <v>0</v>
      </c>
      <c r="Y165" s="33">
        <f>SUMIFS(CAPEX!Y:Y,CAPEX!$G:$G,$G165,CAPEX!$H:$H,$H165)</f>
        <v>0</v>
      </c>
      <c r="Z165" s="33">
        <f>SUMIFS(CAPEX!Z:Z,CAPEX!$G:$G,$G165,CAPEX!$H:$H,$H165)</f>
        <v>0</v>
      </c>
      <c r="AA165" s="33">
        <f>SUMIFS(CAPEX!AA:AA,CAPEX!$G:$G,$G165,CAPEX!$H:$H,$H165)</f>
        <v>0</v>
      </c>
      <c r="AB165" s="33">
        <f>SUMIFS(CAPEX!AB:AB,CAPEX!$G:$G,$G165,CAPEX!$H:$H,$H165)</f>
        <v>0</v>
      </c>
    </row>
    <row r="166" spans="2:28" s="4" customFormat="1" ht="12" x14ac:dyDescent="0.25">
      <c r="B166" s="30"/>
      <c r="G166" s="31" t="str">
        <f>G164</f>
        <v>Выбытия незавершенных капзатрат</v>
      </c>
      <c r="H166" s="4" t="str">
        <f>Lists!$H$9</f>
        <v>Торговые точки</v>
      </c>
      <c r="R166" s="32">
        <f ca="1">SUM($T166:INDIRECT(ADDRESS(ROW(),SUMIFS($1:$1,$3:$3,MAX($3:$3)))))</f>
        <v>0</v>
      </c>
      <c r="U166" s="33">
        <f>SUMIFS(CAPEX!U:U,CAPEX!$G:$G,$G166,CAPEX!$H:$H,$H166)</f>
        <v>0</v>
      </c>
      <c r="V166" s="33">
        <f>SUMIFS(CAPEX!V:V,CAPEX!$G:$G,$G166,CAPEX!$H:$H,$H166)</f>
        <v>0</v>
      </c>
      <c r="W166" s="33">
        <f>SUMIFS(CAPEX!W:W,CAPEX!$G:$G,$G166,CAPEX!$H:$H,$H166)</f>
        <v>0</v>
      </c>
      <c r="X166" s="33">
        <f>SUMIFS(CAPEX!X:X,CAPEX!$G:$G,$G166,CAPEX!$H:$H,$H166)</f>
        <v>0</v>
      </c>
      <c r="Y166" s="33">
        <f>SUMIFS(CAPEX!Y:Y,CAPEX!$G:$G,$G166,CAPEX!$H:$H,$H166)</f>
        <v>0</v>
      </c>
      <c r="Z166" s="33">
        <f>SUMIFS(CAPEX!Z:Z,CAPEX!$G:$G,$G166,CAPEX!$H:$H,$H166)</f>
        <v>0</v>
      </c>
      <c r="AA166" s="33">
        <f>SUMIFS(CAPEX!AA:AA,CAPEX!$G:$G,$G166,CAPEX!$H:$H,$H166)</f>
        <v>0</v>
      </c>
      <c r="AB166" s="33">
        <f>SUMIFS(CAPEX!AB:AB,CAPEX!$G:$G,$G166,CAPEX!$H:$H,$H166)</f>
        <v>0</v>
      </c>
    </row>
    <row r="167" spans="2:28" s="4" customFormat="1" ht="12" x14ac:dyDescent="0.25">
      <c r="B167" s="30"/>
      <c r="G167" s="31" t="str">
        <f>G164</f>
        <v>Выбытия незавершенных капзатрат</v>
      </c>
      <c r="H167" s="4" t="str">
        <f>Lists!$H$10</f>
        <v>Инфраструктура для e-Comm</v>
      </c>
      <c r="R167" s="32">
        <f ca="1">SUM($T167:INDIRECT(ADDRESS(ROW(),SUMIFS($1:$1,$3:$3,MAX($3:$3)))))</f>
        <v>0</v>
      </c>
      <c r="U167" s="33">
        <f>SUMIFS(CAPEX!U:U,CAPEX!$G:$G,$G167,CAPEX!$H:$H,$H167)</f>
        <v>0</v>
      </c>
      <c r="V167" s="33">
        <f>SUMIFS(CAPEX!V:V,CAPEX!$G:$G,$G167,CAPEX!$H:$H,$H167)</f>
        <v>0</v>
      </c>
      <c r="W167" s="33">
        <f>SUMIFS(CAPEX!W:W,CAPEX!$G:$G,$G167,CAPEX!$H:$H,$H167)</f>
        <v>0</v>
      </c>
      <c r="X167" s="33">
        <f>SUMIFS(CAPEX!X:X,CAPEX!$G:$G,$G167,CAPEX!$H:$H,$H167)</f>
        <v>0</v>
      </c>
      <c r="Y167" s="33">
        <f>SUMIFS(CAPEX!Y:Y,CAPEX!$G:$G,$G167,CAPEX!$H:$H,$H167)</f>
        <v>0</v>
      </c>
      <c r="Z167" s="33">
        <f>SUMIFS(CAPEX!Z:Z,CAPEX!$G:$G,$G167,CAPEX!$H:$H,$H167)</f>
        <v>0</v>
      </c>
      <c r="AA167" s="33">
        <f>SUMIFS(CAPEX!AA:AA,CAPEX!$G:$G,$G167,CAPEX!$H:$H,$H167)</f>
        <v>0</v>
      </c>
      <c r="AB167" s="33">
        <f>SUMIFS(CAPEX!AB:AB,CAPEX!$G:$G,$G167,CAPEX!$H:$H,$H167)</f>
        <v>0</v>
      </c>
    </row>
    <row r="168" spans="2:28" x14ac:dyDescent="0.3">
      <c r="B168" s="10" t="str">
        <f>Lists!$F$12</f>
        <v>PL(-)</v>
      </c>
      <c r="G168" s="1" t="s">
        <v>120</v>
      </c>
      <c r="R168" s="3">
        <f ca="1">SUM($T168:INDIRECT(ADDRESS(ROW(),SUMIFS($1:$1,$3:$3,MAX($3:$3)))))</f>
        <v>3821428.5714285709</v>
      </c>
      <c r="U168" s="26">
        <f ca="1">SUM(U169:U171)</f>
        <v>0</v>
      </c>
      <c r="V168" s="26">
        <f t="shared" ref="V168" ca="1" si="80">SUM(V169:V171)</f>
        <v>0</v>
      </c>
      <c r="W168" s="26">
        <f t="shared" ref="W168" ca="1" si="81">SUM(W169:W171)</f>
        <v>58333.333333333336</v>
      </c>
      <c r="X168" s="26">
        <f t="shared" ref="X168" ca="1" si="82">SUM(X169:X171)</f>
        <v>486904.76190476184</v>
      </c>
      <c r="Y168" s="26">
        <f t="shared" ref="Y168" ca="1" si="83">SUM(Y169:Y171)</f>
        <v>603571.42857142852</v>
      </c>
      <c r="Z168" s="26">
        <f t="shared" ref="Z168" ca="1" si="84">SUM(Z169:Z171)</f>
        <v>631349.20634920627</v>
      </c>
      <c r="AA168" s="26">
        <f t="shared" ref="AA168" ca="1" si="85">SUM(AA169:AA171)</f>
        <v>806349.20634920627</v>
      </c>
      <c r="AB168" s="26">
        <f t="shared" ref="AB168" ca="1" si="86">SUM(AB169:AB171)</f>
        <v>1234920.6349206348</v>
      </c>
    </row>
    <row r="169" spans="2:28" s="4" customFormat="1" ht="12" x14ac:dyDescent="0.25">
      <c r="B169" s="30"/>
      <c r="G169" s="31" t="str">
        <f>G168</f>
        <v>Амортизация ОС</v>
      </c>
      <c r="H169" s="4" t="str">
        <f>Lists!$H$8</f>
        <v>Производственные цеха</v>
      </c>
      <c r="R169" s="32">
        <f ca="1">SUM($T169:INDIRECT(ADDRESS(ROW(),SUMIFS($1:$1,$3:$3,MAX($3:$3)))))</f>
        <v>2571428.5714285709</v>
      </c>
      <c r="U169" s="33">
        <f ca="1">SUMIFS(CAPEX!U:U,CAPEX!$G:$G,$G169,CAPEX!$H:$H,$H169)</f>
        <v>0</v>
      </c>
      <c r="V169" s="33">
        <f ca="1">SUMIFS(CAPEX!V:V,CAPEX!$G:$G,$G169,CAPEX!$H:$H,$H169)</f>
        <v>0</v>
      </c>
      <c r="W169" s="33">
        <f ca="1">SUMIFS(CAPEX!W:W,CAPEX!$G:$G,$G169,CAPEX!$H:$H,$H169)</f>
        <v>0</v>
      </c>
      <c r="X169" s="33">
        <f ca="1">SUMIFS(CAPEX!X:X,CAPEX!$G:$G,$G169,CAPEX!$H:$H,$H169)</f>
        <v>428571.42857142852</v>
      </c>
      <c r="Y169" s="33">
        <f ca="1">SUMIFS(CAPEX!Y:Y,CAPEX!$G:$G,$G169,CAPEX!$H:$H,$H169)</f>
        <v>428571.42857142852</v>
      </c>
      <c r="Z169" s="33">
        <f ca="1">SUMIFS(CAPEX!Z:Z,CAPEX!$G:$G,$G169,CAPEX!$H:$H,$H169)</f>
        <v>428571.42857142852</v>
      </c>
      <c r="AA169" s="33">
        <f ca="1">SUMIFS(CAPEX!AA:AA,CAPEX!$G:$G,$G169,CAPEX!$H:$H,$H169)</f>
        <v>428571.42857142852</v>
      </c>
      <c r="AB169" s="33">
        <f ca="1">SUMIFS(CAPEX!AB:AB,CAPEX!$G:$G,$G169,CAPEX!$H:$H,$H169)</f>
        <v>857142.85714285704</v>
      </c>
    </row>
    <row r="170" spans="2:28" s="4" customFormat="1" ht="12" x14ac:dyDescent="0.25">
      <c r="B170" s="30"/>
      <c r="G170" s="31" t="str">
        <f>G168</f>
        <v>Амортизация ОС</v>
      </c>
      <c r="H170" s="4" t="str">
        <f>Lists!$H$9</f>
        <v>Торговые точки</v>
      </c>
      <c r="R170" s="32">
        <f ca="1">SUM($T170:INDIRECT(ADDRESS(ROW(),SUMIFS($1:$1,$3:$3,MAX($3:$3)))))</f>
        <v>1166666.6666666667</v>
      </c>
      <c r="U170" s="33">
        <f ca="1">SUMIFS(CAPEX!U:U,CAPEX!$G:$G,$G170,CAPEX!$H:$H,$H170)</f>
        <v>0</v>
      </c>
      <c r="V170" s="33">
        <f ca="1">SUMIFS(CAPEX!V:V,CAPEX!$G:$G,$G170,CAPEX!$H:$H,$H170)</f>
        <v>0</v>
      </c>
      <c r="W170" s="33">
        <f ca="1">SUMIFS(CAPEX!W:W,CAPEX!$G:$G,$G170,CAPEX!$H:$H,$H170)</f>
        <v>58333.333333333336</v>
      </c>
      <c r="X170" s="33">
        <f ca="1">SUMIFS(CAPEX!X:X,CAPEX!$G:$G,$G170,CAPEX!$H:$H,$H170)</f>
        <v>58333.333333333336</v>
      </c>
      <c r="Y170" s="33">
        <f ca="1">SUMIFS(CAPEX!Y:Y,CAPEX!$G:$G,$G170,CAPEX!$H:$H,$H170)</f>
        <v>175000</v>
      </c>
      <c r="Z170" s="33">
        <f ca="1">SUMIFS(CAPEX!Z:Z,CAPEX!$G:$G,$G170,CAPEX!$H:$H,$H170)</f>
        <v>175000</v>
      </c>
      <c r="AA170" s="33">
        <f ca="1">SUMIFS(CAPEX!AA:AA,CAPEX!$G:$G,$G170,CAPEX!$H:$H,$H170)</f>
        <v>350000</v>
      </c>
      <c r="AB170" s="33">
        <f ca="1">SUMIFS(CAPEX!AB:AB,CAPEX!$G:$G,$G170,CAPEX!$H:$H,$H170)</f>
        <v>350000</v>
      </c>
    </row>
    <row r="171" spans="2:28" s="4" customFormat="1" ht="12" x14ac:dyDescent="0.25">
      <c r="B171" s="30"/>
      <c r="G171" s="31" t="str">
        <f>G168</f>
        <v>Амортизация ОС</v>
      </c>
      <c r="H171" s="4" t="str">
        <f>Lists!$H$10</f>
        <v>Инфраструктура для e-Comm</v>
      </c>
      <c r="R171" s="32">
        <f ca="1">SUM($T171:INDIRECT(ADDRESS(ROW(),SUMIFS($1:$1,$3:$3,MAX($3:$3)))))</f>
        <v>83333.333333333328</v>
      </c>
      <c r="U171" s="33">
        <f ca="1">SUMIFS(CAPEX!U:U,CAPEX!$G:$G,$G171,CAPEX!$H:$H,$H171)</f>
        <v>0</v>
      </c>
      <c r="V171" s="33">
        <f ca="1">SUMIFS(CAPEX!V:V,CAPEX!$G:$G,$G171,CAPEX!$H:$H,$H171)</f>
        <v>0</v>
      </c>
      <c r="W171" s="33">
        <f ca="1">SUMIFS(CAPEX!W:W,CAPEX!$G:$G,$G171,CAPEX!$H:$H,$H171)</f>
        <v>0</v>
      </c>
      <c r="X171" s="33">
        <f ca="1">SUMIFS(CAPEX!X:X,CAPEX!$G:$G,$G171,CAPEX!$H:$H,$H171)</f>
        <v>0</v>
      </c>
      <c r="Y171" s="33">
        <f ca="1">SUMIFS(CAPEX!Y:Y,CAPEX!$G:$G,$G171,CAPEX!$H:$H,$H171)</f>
        <v>0</v>
      </c>
      <c r="Z171" s="33">
        <f ca="1">SUMIFS(CAPEX!Z:Z,CAPEX!$G:$G,$G171,CAPEX!$H:$H,$H171)</f>
        <v>27777.777777777777</v>
      </c>
      <c r="AA171" s="33">
        <f ca="1">SUMIFS(CAPEX!AA:AA,CAPEX!$G:$G,$G171,CAPEX!$H:$H,$H171)</f>
        <v>27777.777777777777</v>
      </c>
      <c r="AB171" s="33">
        <f ca="1">SUMIFS(CAPEX!AB:AB,CAPEX!$G:$G,$G171,CAPEX!$H:$H,$H171)</f>
        <v>27777.777777777777</v>
      </c>
    </row>
    <row r="172" spans="2:28" x14ac:dyDescent="0.3">
      <c r="B172" s="10" t="str">
        <f>Lists!$F$12</f>
        <v>PL(-)</v>
      </c>
      <c r="G172" s="1" t="s">
        <v>121</v>
      </c>
      <c r="R172" s="3">
        <f ca="1">SUM($T172:INDIRECT(ADDRESS(ROW(),SUMIFS($1:$1,$3:$3,MAX($3:$3)))))</f>
        <v>321517.85714285716</v>
      </c>
      <c r="U172" s="26">
        <f>SUM(U173:U175)</f>
        <v>0</v>
      </c>
      <c r="V172" s="26">
        <f t="shared" ref="V172" ca="1" si="87">SUM(V173:V175)</f>
        <v>0</v>
      </c>
      <c r="W172" s="26">
        <f t="shared" ref="W172" ca="1" si="88">SUM(W173:W175)</f>
        <v>2916.6666666666665</v>
      </c>
      <c r="X172" s="26">
        <f t="shared" ref="X172" ca="1" si="89">SUM(X173:X175)</f>
        <v>47868.055555555555</v>
      </c>
      <c r="Y172" s="26">
        <f t="shared" ref="Y172" ca="1" si="90">SUM(Y173:Y175)</f>
        <v>53117.063492063491</v>
      </c>
      <c r="Z172" s="26">
        <f t="shared" ref="Z172" ca="1" si="91">SUM(Z173:Z175)</f>
        <v>52435.515873015887</v>
      </c>
      <c r="AA172" s="26">
        <f t="shared" ref="AA172" ca="1" si="92">SUM(AA173:AA175)</f>
        <v>60503.968253968262</v>
      </c>
      <c r="AB172" s="26">
        <f t="shared" ref="AB172" ca="1" si="93">SUM(AB173:AB175)</f>
        <v>104676.58730158732</v>
      </c>
    </row>
    <row r="173" spans="2:28" s="4" customFormat="1" ht="12" x14ac:dyDescent="0.25">
      <c r="B173" s="30"/>
      <c r="G173" s="31" t="str">
        <f>G172</f>
        <v>Налоги на внеоборотные активы</v>
      </c>
      <c r="H173" s="4" t="str">
        <f>Lists!$H$8</f>
        <v>Производственные цеха</v>
      </c>
      <c r="M173" s="38">
        <v>1.4999999999999999E-2</v>
      </c>
      <c r="R173" s="32">
        <f ca="1">SUM($T173:INDIRECT(ADDRESS(ROW(),SUMIFS($1:$1,$3:$3,MAX($3:$3)))))</f>
        <v>264642.85714285722</v>
      </c>
      <c r="U173" s="33">
        <f>U18*$M173/12</f>
        <v>0</v>
      </c>
      <c r="V173" s="33">
        <f t="shared" ref="V173:AB173" ca="1" si="94">V18*$M173/12</f>
        <v>0</v>
      </c>
      <c r="W173" s="33">
        <f t="shared" ca="1" si="94"/>
        <v>0</v>
      </c>
      <c r="X173" s="33">
        <f t="shared" ca="1" si="94"/>
        <v>45000</v>
      </c>
      <c r="Y173" s="33">
        <f t="shared" ca="1" si="94"/>
        <v>44464.285714285717</v>
      </c>
      <c r="Z173" s="33">
        <f t="shared" ca="1" si="94"/>
        <v>43928.571428571442</v>
      </c>
      <c r="AA173" s="33">
        <f t="shared" ca="1" si="94"/>
        <v>43392.857142857152</v>
      </c>
      <c r="AB173" s="33">
        <f t="shared" ca="1" si="94"/>
        <v>87857.142857142884</v>
      </c>
    </row>
    <row r="174" spans="2:28" s="4" customFormat="1" ht="12" x14ac:dyDescent="0.25">
      <c r="B174" s="30"/>
      <c r="G174" s="31" t="str">
        <f>G172</f>
        <v>Налоги на внеоборотные активы</v>
      </c>
      <c r="H174" s="4" t="str">
        <f>Lists!$H$9</f>
        <v>Торговые точки</v>
      </c>
      <c r="M174" s="38">
        <v>0.01</v>
      </c>
      <c r="R174" s="32">
        <f ca="1">SUM($T174:INDIRECT(ADDRESS(ROW(),SUMIFS($1:$1,$3:$3,MAX($3:$3)))))</f>
        <v>56875</v>
      </c>
      <c r="U174" s="33">
        <f>U19*$M174/12</f>
        <v>0</v>
      </c>
      <c r="V174" s="33">
        <f t="shared" ref="V174:AB174" ca="1" si="95">V19*$M174/12</f>
        <v>0</v>
      </c>
      <c r="W174" s="33">
        <f t="shared" ca="1" si="95"/>
        <v>2916.6666666666665</v>
      </c>
      <c r="X174" s="33">
        <f t="shared" ca="1" si="95"/>
        <v>2868.0555555555552</v>
      </c>
      <c r="Y174" s="33">
        <f t="shared" ca="1" si="95"/>
        <v>8652.7777777777774</v>
      </c>
      <c r="Z174" s="33">
        <f t="shared" ca="1" si="95"/>
        <v>8506.9444444444434</v>
      </c>
      <c r="AA174" s="33">
        <f t="shared" ca="1" si="95"/>
        <v>17111.111111111109</v>
      </c>
      <c r="AB174" s="33">
        <f t="shared" ca="1" si="95"/>
        <v>16819.444444444442</v>
      </c>
    </row>
    <row r="175" spans="2:28" s="4" customFormat="1" ht="12" x14ac:dyDescent="0.25">
      <c r="B175" s="30"/>
      <c r="G175" s="31" t="str">
        <f>G172</f>
        <v>Налоги на внеоборотные активы</v>
      </c>
      <c r="H175" s="4" t="str">
        <f>Lists!$H$10</f>
        <v>Инфраструктура для e-Comm</v>
      </c>
      <c r="M175" s="38">
        <v>0</v>
      </c>
      <c r="R175" s="32">
        <f ca="1">SUM($T175:INDIRECT(ADDRESS(ROW(),SUMIFS($1:$1,$3:$3,MAX($3:$3)))))</f>
        <v>0</v>
      </c>
      <c r="U175" s="33">
        <f>U20*$M175/12</f>
        <v>0</v>
      </c>
      <c r="V175" s="33">
        <f t="shared" ref="V175:AB175" ca="1" si="96">V20*$M175/12</f>
        <v>0</v>
      </c>
      <c r="W175" s="33">
        <f t="shared" ca="1" si="96"/>
        <v>0</v>
      </c>
      <c r="X175" s="33">
        <f t="shared" ca="1" si="96"/>
        <v>0</v>
      </c>
      <c r="Y175" s="33">
        <f t="shared" ca="1" si="96"/>
        <v>0</v>
      </c>
      <c r="Z175" s="33">
        <f t="shared" ca="1" si="96"/>
        <v>0</v>
      </c>
      <c r="AA175" s="33">
        <f t="shared" ca="1" si="96"/>
        <v>0</v>
      </c>
      <c r="AB175" s="33">
        <f t="shared" ca="1" si="96"/>
        <v>0</v>
      </c>
    </row>
    <row r="176" spans="2:28" s="7" customFormat="1" x14ac:dyDescent="0.3">
      <c r="B176" s="24" t="str">
        <f>Lists!$F$13</f>
        <v>PL</v>
      </c>
      <c r="G176" s="7" t="s">
        <v>122</v>
      </c>
      <c r="R176" s="3">
        <f ca="1">SUM($T176:INDIRECT(ADDRESS(ROW(),SUMIFS($1:$1,$3:$3,MAX($3:$3)))))</f>
        <v>-3695321.4285714282</v>
      </c>
      <c r="U176" s="3">
        <f ca="1">SUMIFS(U$145:U172,$B$145:$B172,Lists!$F$11)-SUMIFS(U$145:U172,$B$145:$B172,Lists!$F$12)</f>
        <v>-160000</v>
      </c>
      <c r="V176" s="3">
        <f ca="1">SUMIFS(V$145:V172,$B$145:$B172,Lists!$F$11)-SUMIFS(V$145:V172,$B$145:$B172,Lists!$F$12)</f>
        <v>-160000</v>
      </c>
      <c r="W176" s="3">
        <f ca="1">SUMIFS(W$145:W172,$B$145:$B172,Lists!$F$11)-SUMIFS(W$145:W172,$B$145:$B172,Lists!$F$12)</f>
        <v>-221250</v>
      </c>
      <c r="X176" s="3">
        <f ca="1">SUMIFS(X$145:X172,$B$145:$B172,Lists!$F$11)-SUMIFS(X$145:X172,$B$145:$B172,Lists!$F$12)</f>
        <v>-646572.8174603174</v>
      </c>
      <c r="Y176" s="3">
        <f ca="1">SUMIFS(Y$145:Y172,$B$145:$B172,Lists!$F$11)-SUMIFS(Y$145:Y172,$B$145:$B172,Lists!$F$12)</f>
        <v>-127188.49206349207</v>
      </c>
      <c r="Z176" s="3">
        <f ca="1">SUMIFS(Z$145:Z172,$B$145:$B172,Lists!$F$11)-SUMIFS(Z$145:Z172,$B$145:$B172,Lists!$F$12)</f>
        <v>-838859.72222222213</v>
      </c>
      <c r="AA176" s="3">
        <f ca="1">SUMIFS(AA$145:AA172,$B$145:$B172,Lists!$F$11)-SUMIFS(AA$145:AA172,$B$145:$B172,Lists!$F$12)</f>
        <v>-41853.174603174557</v>
      </c>
      <c r="AB176" s="3">
        <f ca="1">SUMIFS(AB$145:AB172,$B$145:$B172,Lists!$F$11)-SUMIFS(AB$145:AB172,$B$145:$B172,Lists!$F$12)</f>
        <v>-1499597.222222222</v>
      </c>
    </row>
    <row r="177" spans="2:28" x14ac:dyDescent="0.3">
      <c r="B177" s="10" t="str">
        <f>Lists!$F$11</f>
        <v>PL(+)</v>
      </c>
      <c r="G177" s="1" t="s">
        <v>123</v>
      </c>
      <c r="R177" s="3">
        <f ca="1">SUM($T177:INDIRECT(ADDRESS(ROW(),SUMIFS($1:$1,$3:$3,MAX($3:$3)))))</f>
        <v>0</v>
      </c>
      <c r="U177" s="26"/>
      <c r="V177" s="26"/>
      <c r="W177" s="26"/>
      <c r="X177" s="26"/>
      <c r="Y177" s="26"/>
      <c r="Z177" s="26"/>
      <c r="AA177" s="26"/>
      <c r="AB177" s="26"/>
    </row>
    <row r="178" spans="2:28" x14ac:dyDescent="0.3">
      <c r="G178" s="1" t="str">
        <f>$G$177</f>
        <v>Прочие доходы</v>
      </c>
      <c r="H178" s="1" t="s">
        <v>124</v>
      </c>
      <c r="R178" s="3">
        <f ca="1">SUM($T178:INDIRECT(ADDRESS(ROW(),SUMIFS($1:$1,$3:$3,MAX($3:$3)))))</f>
        <v>0</v>
      </c>
      <c r="U178" s="26"/>
      <c r="V178" s="26"/>
      <c r="W178" s="26"/>
      <c r="X178" s="26"/>
      <c r="Y178" s="26"/>
      <c r="Z178" s="26"/>
      <c r="AA178" s="26"/>
      <c r="AB178" s="26"/>
    </row>
    <row r="179" spans="2:28" x14ac:dyDescent="0.3">
      <c r="B179" s="10" t="str">
        <f>Lists!$F$12</f>
        <v>PL(-)</v>
      </c>
      <c r="G179" s="1" t="s">
        <v>125</v>
      </c>
      <c r="R179" s="3">
        <f ca="1">SUM($T179:INDIRECT(ADDRESS(ROW(),SUMIFS($1:$1,$3:$3,MAX($3:$3)))))</f>
        <v>0</v>
      </c>
      <c r="U179" s="26"/>
      <c r="V179" s="26"/>
      <c r="W179" s="26"/>
      <c r="X179" s="26"/>
      <c r="Y179" s="26"/>
      <c r="Z179" s="26"/>
      <c r="AA179" s="26"/>
      <c r="AB179" s="26"/>
    </row>
    <row r="180" spans="2:28" x14ac:dyDescent="0.3">
      <c r="G180" s="1" t="str">
        <f>$H$130</f>
        <v>Оплата процентов</v>
      </c>
      <c r="H180" s="1" t="s">
        <v>126</v>
      </c>
      <c r="R180" s="3">
        <f ca="1">SUM($T180:INDIRECT(ADDRESS(ROW(),SUMIFS($1:$1,$3:$3,MAX($3:$3)))))</f>
        <v>0</v>
      </c>
      <c r="U180" s="26"/>
      <c r="V180" s="26"/>
      <c r="W180" s="26"/>
      <c r="X180" s="26"/>
      <c r="Y180" s="26"/>
      <c r="Z180" s="26"/>
      <c r="AA180" s="26"/>
      <c r="AB180" s="26"/>
    </row>
    <row r="181" spans="2:28" x14ac:dyDescent="0.3">
      <c r="G181" s="1" t="str">
        <f t="shared" ref="G181:G182" si="97">$H$130</f>
        <v>Оплата процентов</v>
      </c>
      <c r="H181" s="1" t="s">
        <v>127</v>
      </c>
      <c r="R181" s="3">
        <f ca="1">SUM($T181:INDIRECT(ADDRESS(ROW(),SUMIFS($1:$1,$3:$3,MAX($3:$3)))))</f>
        <v>0</v>
      </c>
      <c r="U181" s="26"/>
      <c r="V181" s="26"/>
      <c r="W181" s="26"/>
      <c r="X181" s="26"/>
      <c r="Y181" s="26"/>
      <c r="Z181" s="26"/>
      <c r="AA181" s="26"/>
      <c r="AB181" s="26"/>
    </row>
    <row r="182" spans="2:28" x14ac:dyDescent="0.3">
      <c r="G182" s="1" t="str">
        <f t="shared" si="97"/>
        <v>Оплата процентов</v>
      </c>
      <c r="H182" s="1" t="s">
        <v>128</v>
      </c>
      <c r="R182" s="3">
        <f ca="1">SUM($T182:INDIRECT(ADDRESS(ROW(),SUMIFS($1:$1,$3:$3,MAX($3:$3)))))</f>
        <v>0</v>
      </c>
      <c r="U182" s="26"/>
      <c r="V182" s="26"/>
      <c r="W182" s="26"/>
      <c r="X182" s="26"/>
      <c r="Y182" s="26"/>
      <c r="Z182" s="26"/>
      <c r="AA182" s="26"/>
      <c r="AB182" s="26"/>
    </row>
    <row r="183" spans="2:28" s="7" customFormat="1" x14ac:dyDescent="0.3">
      <c r="B183" s="24" t="str">
        <f>Lists!$F$13</f>
        <v>PL</v>
      </c>
      <c r="G183" s="7" t="s">
        <v>129</v>
      </c>
      <c r="R183" s="3">
        <f ca="1">SUM($T183:INDIRECT(ADDRESS(ROW(),SUMIFS($1:$1,$3:$3,MAX($3:$3)))))</f>
        <v>-3695321.4285714282</v>
      </c>
      <c r="U183" s="3">
        <f ca="1">SUMIFS(U$145:U182,$B$145:$B182,Lists!$F$11)-SUMIFS(U$145:U182,$B$145:$B182,Lists!$F$12)</f>
        <v>-160000</v>
      </c>
      <c r="V183" s="3">
        <f ca="1">SUMIFS(V$145:V182,$B$145:$B182,Lists!$F$11)-SUMIFS(V$145:V182,$B$145:$B182,Lists!$F$12)</f>
        <v>-160000</v>
      </c>
      <c r="W183" s="3">
        <f ca="1">SUMIFS(W$145:W182,$B$145:$B182,Lists!$F$11)-SUMIFS(W$145:W182,$B$145:$B182,Lists!$F$12)</f>
        <v>-221250</v>
      </c>
      <c r="X183" s="3">
        <f ca="1">SUMIFS(X$145:X182,$B$145:$B182,Lists!$F$11)-SUMIFS(X$145:X182,$B$145:$B182,Lists!$F$12)</f>
        <v>-646572.8174603174</v>
      </c>
      <c r="Y183" s="3">
        <f ca="1">SUMIFS(Y$145:Y182,$B$145:$B182,Lists!$F$11)-SUMIFS(Y$145:Y182,$B$145:$B182,Lists!$F$12)</f>
        <v>-127188.49206349207</v>
      </c>
      <c r="Z183" s="3">
        <f ca="1">SUMIFS(Z$145:Z182,$B$145:$B182,Lists!$F$11)-SUMIFS(Z$145:Z182,$B$145:$B182,Lists!$F$12)</f>
        <v>-838859.72222222213</v>
      </c>
      <c r="AA183" s="3">
        <f ca="1">SUMIFS(AA$145:AA182,$B$145:$B182,Lists!$F$11)-SUMIFS(AA$145:AA182,$B$145:$B182,Lists!$F$12)</f>
        <v>-41853.174603174557</v>
      </c>
      <c r="AB183" s="3">
        <f ca="1">SUMIFS(AB$145:AB182,$B$145:$B182,Lists!$F$11)-SUMIFS(AB$145:AB182,$B$145:$B182,Lists!$F$12)</f>
        <v>-1499597.222222222</v>
      </c>
    </row>
    <row r="184" spans="2:28" x14ac:dyDescent="0.3">
      <c r="B184" s="10" t="str">
        <f>Lists!$F$12</f>
        <v>PL(-)</v>
      </c>
      <c r="G184" s="1" t="s">
        <v>130</v>
      </c>
      <c r="R184" s="3">
        <f ca="1">SUM($T184:INDIRECT(ADDRESS(ROW(),SUMIFS($1:$1,$3:$3,MAX($3:$3)))))</f>
        <v>0</v>
      </c>
      <c r="U184" s="26"/>
      <c r="V184" s="26"/>
      <c r="W184" s="26"/>
      <c r="X184" s="26"/>
      <c r="Y184" s="26"/>
      <c r="Z184" s="26"/>
      <c r="AA184" s="26"/>
      <c r="AB184" s="26"/>
    </row>
    <row r="185" spans="2:28" s="7" customFormat="1" x14ac:dyDescent="0.3">
      <c r="B185" s="24" t="str">
        <f>Lists!$F$13</f>
        <v>PL</v>
      </c>
      <c r="G185" s="7" t="s">
        <v>131</v>
      </c>
      <c r="R185" s="3">
        <f ca="1">SUM($T185:INDIRECT(ADDRESS(ROW(),SUMIFS($1:$1,$3:$3,MAX($3:$3)))))</f>
        <v>-3695321.4285714282</v>
      </c>
      <c r="U185" s="3">
        <f ca="1">SUMIFS(U$145:U184,$B$145:$B184,Lists!$F$11)-SUMIFS(U$145:U184,$B$145:$B184,Lists!$F$12)</f>
        <v>-160000</v>
      </c>
      <c r="V185" s="3">
        <f ca="1">SUMIFS(V$145:V184,$B$145:$B184,Lists!$F$11)-SUMIFS(V$145:V184,$B$145:$B184,Lists!$F$12)</f>
        <v>-160000</v>
      </c>
      <c r="W185" s="3">
        <f ca="1">SUMIFS(W$145:W184,$B$145:$B184,Lists!$F$11)-SUMIFS(W$145:W184,$B$145:$B184,Lists!$F$12)</f>
        <v>-221250</v>
      </c>
      <c r="X185" s="3">
        <f ca="1">SUMIFS(X$145:X184,$B$145:$B184,Lists!$F$11)-SUMIFS(X$145:X184,$B$145:$B184,Lists!$F$12)</f>
        <v>-646572.8174603174</v>
      </c>
      <c r="Y185" s="3">
        <f ca="1">SUMIFS(Y$145:Y184,$B$145:$B184,Lists!$F$11)-SUMIFS(Y$145:Y184,$B$145:$B184,Lists!$F$12)</f>
        <v>-127188.49206349207</v>
      </c>
      <c r="Z185" s="3">
        <f ca="1">SUMIFS(Z$145:Z184,$B$145:$B184,Lists!$F$11)-SUMIFS(Z$145:Z184,$B$145:$B184,Lists!$F$12)</f>
        <v>-838859.72222222213</v>
      </c>
      <c r="AA185" s="3">
        <f ca="1">SUMIFS(AA$145:AA184,$B$145:$B184,Lists!$F$11)-SUMIFS(AA$145:AA184,$B$145:$B184,Lists!$F$12)</f>
        <v>-41853.174603174557</v>
      </c>
      <c r="AB185" s="3">
        <f ca="1">SUMIFS(AB$145:AB184,$B$145:$B184,Lists!$F$11)-SUMIFS(AB$145:AB184,$B$145:$B184,Lists!$F$12)</f>
        <v>-1499597.222222222</v>
      </c>
    </row>
    <row r="186" spans="2:28" s="21" customFormat="1" x14ac:dyDescent="0.3">
      <c r="B186" s="10" t="str">
        <f>Lists!$F$12</f>
        <v>PL(-)</v>
      </c>
      <c r="G186" s="21" t="s">
        <v>132</v>
      </c>
      <c r="R186" s="14">
        <f ca="1">SUM($T186:INDIRECT(ADDRESS(ROW(),SUMIFS($1:$1,$3:$3,MAX($3:$3)))))</f>
        <v>0</v>
      </c>
      <c r="U186" s="26"/>
      <c r="V186" s="26"/>
      <c r="W186" s="26"/>
      <c r="X186" s="26"/>
      <c r="Y186" s="26"/>
      <c r="Z186" s="26"/>
      <c r="AA186" s="26"/>
      <c r="AB186" s="26"/>
    </row>
    <row r="187" spans="2:28" s="21" customFormat="1" x14ac:dyDescent="0.3">
      <c r="B187" s="10"/>
      <c r="G187" s="21" t="str">
        <f>$G$186</f>
        <v>Начисление дивидендов</v>
      </c>
      <c r="H187" s="21" t="s">
        <v>133</v>
      </c>
      <c r="R187" s="14">
        <f ca="1">SUM($T187:INDIRECT(ADDRESS(ROW(),SUMIFS($1:$1,$3:$3,MAX($3:$3)))))</f>
        <v>0</v>
      </c>
      <c r="U187" s="26"/>
      <c r="V187" s="26"/>
      <c r="W187" s="26"/>
      <c r="X187" s="26"/>
      <c r="Y187" s="26"/>
      <c r="Z187" s="26"/>
      <c r="AA187" s="26"/>
      <c r="AB187" s="26"/>
    </row>
    <row r="188" spans="2:28" s="21" customFormat="1" x14ac:dyDescent="0.3">
      <c r="B188" s="10"/>
      <c r="G188" s="21" t="str">
        <f>$G$186</f>
        <v>Начисление дивидендов</v>
      </c>
      <c r="H188" s="21" t="s">
        <v>134</v>
      </c>
      <c r="R188" s="14">
        <f ca="1">SUM($T188:INDIRECT(ADDRESS(ROW(),SUMIFS($1:$1,$3:$3,MAX($3:$3)))))</f>
        <v>0</v>
      </c>
      <c r="U188" s="26"/>
      <c r="V188" s="26"/>
      <c r="W188" s="26"/>
      <c r="X188" s="26"/>
      <c r="Y188" s="26"/>
      <c r="Z188" s="26"/>
      <c r="AA188" s="26"/>
      <c r="AB188" s="26"/>
    </row>
    <row r="189" spans="2:28" s="21" customFormat="1" x14ac:dyDescent="0.3">
      <c r="B189" s="10" t="str">
        <f>Lists!$F$12</f>
        <v>PL(-)</v>
      </c>
      <c r="G189" s="21" t="s">
        <v>135</v>
      </c>
      <c r="R189" s="14">
        <f ca="1">SUM($T189:INDIRECT(ADDRESS(ROW(),SUMIFS($1:$1,$3:$3,MAX($3:$3)))))</f>
        <v>0</v>
      </c>
      <c r="U189" s="26"/>
      <c r="V189" s="26"/>
      <c r="W189" s="26"/>
      <c r="X189" s="26"/>
      <c r="Y189" s="26"/>
      <c r="Z189" s="26"/>
      <c r="AA189" s="26"/>
      <c r="AB189" s="26"/>
    </row>
    <row r="190" spans="2:28" s="7" customFormat="1" x14ac:dyDescent="0.3">
      <c r="B190" s="24" t="str">
        <f>Lists!$F$13</f>
        <v>PL</v>
      </c>
      <c r="G190" s="7" t="s">
        <v>24</v>
      </c>
      <c r="R190" s="3">
        <f ca="1">SUM($T190:INDIRECT(ADDRESS(ROW(),SUMIFS($1:$1,$3:$3,MAX($3:$3)))))</f>
        <v>-3695321.4285714282</v>
      </c>
      <c r="U190" s="3">
        <f ca="1">SUMIFS(U$145:U189,$B$145:$B189,Lists!$F$11)-SUMIFS(U$145:U189,$B$145:$B189,Lists!$F$12)</f>
        <v>-160000</v>
      </c>
      <c r="V190" s="3">
        <f ca="1">SUMIFS(V$145:V189,$B$145:$B189,Lists!$F$11)-SUMIFS(V$145:V189,$B$145:$B189,Lists!$F$12)</f>
        <v>-160000</v>
      </c>
      <c r="W190" s="3">
        <f ca="1">SUMIFS(W$145:W189,$B$145:$B189,Lists!$F$11)-SUMIFS(W$145:W189,$B$145:$B189,Lists!$F$12)</f>
        <v>-221250</v>
      </c>
      <c r="X190" s="3">
        <f ca="1">SUMIFS(X$145:X189,$B$145:$B189,Lists!$F$11)-SUMIFS(X$145:X189,$B$145:$B189,Lists!$F$12)</f>
        <v>-646572.8174603174</v>
      </c>
      <c r="Y190" s="3">
        <f ca="1">SUMIFS(Y$145:Y189,$B$145:$B189,Lists!$F$11)-SUMIFS(Y$145:Y189,$B$145:$B189,Lists!$F$12)</f>
        <v>-127188.49206349207</v>
      </c>
      <c r="Z190" s="3">
        <f ca="1">SUMIFS(Z$145:Z189,$B$145:$B189,Lists!$F$11)-SUMIFS(Z$145:Z189,$B$145:$B189,Lists!$F$12)</f>
        <v>-838859.72222222213</v>
      </c>
      <c r="AA190" s="3">
        <f ca="1">SUMIFS(AA$145:AA189,$B$145:$B189,Lists!$F$11)-SUMIFS(AA$145:AA189,$B$145:$B189,Lists!$F$12)</f>
        <v>-41853.174603174557</v>
      </c>
      <c r="AB190" s="3">
        <f ca="1">SUMIFS(AB$145:AB189,$B$145:$B189,Lists!$F$11)-SUMIFS(AB$145:AB189,$B$145:$B189,Lists!$F$12)</f>
        <v>-1499597.222222222</v>
      </c>
    </row>
    <row r="191" spans="2:28" s="21" customFormat="1" x14ac:dyDescent="0.3">
      <c r="B191" s="10"/>
      <c r="G191" s="21" t="s">
        <v>136</v>
      </c>
      <c r="R191" s="14">
        <f ca="1">INDIRECT(ADDRESS(ROW(),SUMIFS($1:$1,$3:$3,MAX($3:$3))))</f>
        <v>-3695321.4285714282</v>
      </c>
      <c r="U191" s="14">
        <f ca="1">SUM($T190:U190)</f>
        <v>-160000</v>
      </c>
      <c r="V191" s="14">
        <f ca="1">SUM($T190:V190)</f>
        <v>-320000</v>
      </c>
      <c r="W191" s="14">
        <f ca="1">SUM($T190:W190)</f>
        <v>-541250</v>
      </c>
      <c r="X191" s="14">
        <f ca="1">SUM($T190:X190)</f>
        <v>-1187822.8174603174</v>
      </c>
      <c r="Y191" s="14">
        <f ca="1">SUM($T190:Y190)</f>
        <v>-1315011.3095238095</v>
      </c>
      <c r="Z191" s="14">
        <f ca="1">SUM($T190:Z190)</f>
        <v>-2153871.0317460317</v>
      </c>
      <c r="AA191" s="14">
        <f ca="1">SUM($T190:AA190)</f>
        <v>-2195724.2063492062</v>
      </c>
      <c r="AB191" s="14">
        <f ca="1">SUM($T190:AB190)</f>
        <v>-3695321.4285714282</v>
      </c>
    </row>
    <row r="192" spans="2:28" s="21" customFormat="1" ht="4.95" customHeight="1" x14ac:dyDescent="0.3">
      <c r="B192" s="10"/>
      <c r="R192" s="14"/>
      <c r="U192" s="14"/>
      <c r="V192" s="14"/>
      <c r="W192" s="14"/>
      <c r="X192" s="14"/>
      <c r="Y192" s="14"/>
      <c r="Z192" s="14"/>
      <c r="AA192" s="14"/>
      <c r="AB192" s="14"/>
    </row>
    <row r="193" spans="2:28" s="21" customFormat="1" x14ac:dyDescent="0.3">
      <c r="B193" s="10"/>
      <c r="R193" s="14"/>
      <c r="U193" s="14"/>
      <c r="V193" s="14"/>
      <c r="W193" s="14"/>
      <c r="X193" s="14"/>
      <c r="Y193" s="14"/>
      <c r="Z193" s="14"/>
      <c r="AA193" s="14"/>
      <c r="AB193" s="14"/>
    </row>
    <row r="194" spans="2:28" s="21" customFormat="1" ht="4.95" customHeight="1" x14ac:dyDescent="0.3">
      <c r="B194" s="10"/>
      <c r="R194" s="14"/>
      <c r="U194" s="14"/>
      <c r="V194" s="14"/>
      <c r="W194" s="14"/>
      <c r="X194" s="14"/>
      <c r="Y194" s="14"/>
      <c r="Z194" s="14"/>
      <c r="AA194" s="14"/>
      <c r="AB194" s="14"/>
    </row>
    <row r="195" spans="2:28" s="7" customFormat="1" x14ac:dyDescent="0.3">
      <c r="B195" s="24"/>
      <c r="E195" s="7" t="s">
        <v>41</v>
      </c>
      <c r="R195" s="3"/>
      <c r="U195" s="3"/>
      <c r="V195" s="3"/>
      <c r="W195" s="3"/>
      <c r="X195" s="3"/>
      <c r="Y195" s="3"/>
      <c r="Z195" s="3"/>
      <c r="AA195" s="3"/>
      <c r="AB195" s="3"/>
    </row>
    <row r="196" spans="2:28" x14ac:dyDescent="0.3">
      <c r="F196" s="1" t="s">
        <v>7</v>
      </c>
      <c r="R196" s="3">
        <f ca="1">SUMIFS(R197:R217,$G197:$G217,"&lt;&gt;"&amp;"",$H197:$H217,"")</f>
        <v>48376196.428571418</v>
      </c>
      <c r="U196" s="2">
        <f ca="1">SUMIFS(U197:U217,$G197:$G217,"&lt;&gt;"&amp;"",$H197:$H217,"")</f>
        <v>60990000</v>
      </c>
      <c r="V196" s="2">
        <f t="shared" ref="V196:AB196" ca="1" si="98">SUMIFS(V197:V217,$G197:$G217,"&lt;&gt;"&amp;"",$H197:$H217,"")</f>
        <v>60230000</v>
      </c>
      <c r="W196" s="2">
        <f t="shared" ca="1" si="98"/>
        <v>54096666.666666664</v>
      </c>
      <c r="X196" s="2">
        <f t="shared" ca="1" si="98"/>
        <v>49962961.904761903</v>
      </c>
      <c r="Y196" s="2">
        <f t="shared" ca="1" si="98"/>
        <v>64048890.476190478</v>
      </c>
      <c r="Z196" s="2">
        <f t="shared" ca="1" si="98"/>
        <v>59252466.269841269</v>
      </c>
      <c r="AA196" s="2">
        <f t="shared" ca="1" si="98"/>
        <v>58471117.06349206</v>
      </c>
      <c r="AB196" s="2">
        <f t="shared" ca="1" si="98"/>
        <v>48376196.428571418</v>
      </c>
    </row>
    <row r="197" spans="2:28" x14ac:dyDescent="0.3">
      <c r="G197" s="1" t="s">
        <v>8</v>
      </c>
      <c r="R197" s="25">
        <f t="shared" ref="R197:R216" ca="1" si="99">INDIRECT(ADDRESS(ROW(),SUMIFS($1:$1,$3:$3,MAX($3:$3))))</f>
        <v>0</v>
      </c>
      <c r="U197" s="2">
        <f ca="1">IF((U9-U39+U103-U67)&gt;=0,U9-U39+U103-U67,0)</f>
        <v>0</v>
      </c>
      <c r="V197" s="2">
        <f ca="1">IF((V9-V39+V103-V67)&gt;=0,V9-V39+V103-V67,0)</f>
        <v>0</v>
      </c>
      <c r="W197" s="2">
        <f ca="1">IF((W9-W39+W103-W67)&gt;=0,W9-W39+W103-W67,0)</f>
        <v>0</v>
      </c>
      <c r="X197" s="2">
        <f ca="1">IF((X9-X39+X103-X67)&gt;=0,X9-X39+X103-X67,0)</f>
        <v>0</v>
      </c>
      <c r="Y197" s="2">
        <f ca="1">IF((Y9-Y39+Y103-Y67)&gt;=0,Y9-Y39+Y103-Y67,0)</f>
        <v>0</v>
      </c>
      <c r="Z197" s="2">
        <f ca="1">IF((Z9-Z39+Z103-Z67)&gt;=0,Z9-Z39+Z103-Z67,0)</f>
        <v>0</v>
      </c>
      <c r="AA197" s="2">
        <f ca="1">IF((AA9-AA39+AA103-AA67)&gt;=0,AA9-AA39+AA103-AA67,0)</f>
        <v>0</v>
      </c>
      <c r="AB197" s="2">
        <f ca="1">IF((AB9-AB39+AB103-AB67)&gt;=0,AB9-AB39+AB103-AB67,0)</f>
        <v>0</v>
      </c>
    </row>
    <row r="198" spans="2:28" s="4" customFormat="1" ht="12" x14ac:dyDescent="0.25">
      <c r="B198" s="30"/>
      <c r="G198" s="31" t="str">
        <f>G197</f>
        <v>Авансы выданные по капзатратам</v>
      </c>
      <c r="H198" s="4" t="str">
        <f>Lists!$H$8</f>
        <v>Производственные цеха</v>
      </c>
      <c r="R198" s="32">
        <f t="shared" ca="1" si="99"/>
        <v>0</v>
      </c>
      <c r="U198" s="33">
        <f t="shared" ref="U198:AB198" ca="1" si="100">IF((U10-U40+U104-U68)&gt;=0,U10-U40+U104-U68,0)</f>
        <v>0</v>
      </c>
      <c r="V198" s="33">
        <f t="shared" ca="1" si="100"/>
        <v>0</v>
      </c>
      <c r="W198" s="33">
        <f t="shared" ca="1" si="100"/>
        <v>0</v>
      </c>
      <c r="X198" s="33">
        <f t="shared" ca="1" si="100"/>
        <v>0</v>
      </c>
      <c r="Y198" s="33">
        <f t="shared" ca="1" si="100"/>
        <v>0</v>
      </c>
      <c r="Z198" s="33">
        <f t="shared" ca="1" si="100"/>
        <v>0</v>
      </c>
      <c r="AA198" s="33">
        <f t="shared" ca="1" si="100"/>
        <v>0</v>
      </c>
      <c r="AB198" s="33">
        <f t="shared" ca="1" si="100"/>
        <v>0</v>
      </c>
    </row>
    <row r="199" spans="2:28" s="4" customFormat="1" ht="12" x14ac:dyDescent="0.25">
      <c r="B199" s="30"/>
      <c r="G199" s="31" t="str">
        <f>G197</f>
        <v>Авансы выданные по капзатратам</v>
      </c>
      <c r="H199" s="4" t="str">
        <f>Lists!$H$9</f>
        <v>Торговые точки</v>
      </c>
      <c r="R199" s="32">
        <f t="shared" ca="1" si="99"/>
        <v>0</v>
      </c>
      <c r="U199" s="33">
        <f t="shared" ref="U199:AB199" ca="1" si="101">IF((U11-U41+U105-U69)&gt;=0,U11-U41+U105-U69,0)</f>
        <v>0</v>
      </c>
      <c r="V199" s="33">
        <f t="shared" ca="1" si="101"/>
        <v>0</v>
      </c>
      <c r="W199" s="33">
        <f ca="1">IF((W11-W41+W105-W69)&gt;=0,W11-W41+W105-W69,0)</f>
        <v>0</v>
      </c>
      <c r="X199" s="33">
        <f t="shared" ca="1" si="101"/>
        <v>0</v>
      </c>
      <c r="Y199" s="33">
        <f t="shared" ca="1" si="101"/>
        <v>0</v>
      </c>
      <c r="Z199" s="33">
        <f t="shared" ca="1" si="101"/>
        <v>0</v>
      </c>
      <c r="AA199" s="33">
        <f t="shared" ca="1" si="101"/>
        <v>0</v>
      </c>
      <c r="AB199" s="33">
        <f t="shared" ca="1" si="101"/>
        <v>0</v>
      </c>
    </row>
    <row r="200" spans="2:28" s="4" customFormat="1" ht="12" x14ac:dyDescent="0.25">
      <c r="B200" s="30"/>
      <c r="G200" s="31" t="str">
        <f>G197</f>
        <v>Авансы выданные по капзатратам</v>
      </c>
      <c r="H200" s="4" t="str">
        <f>Lists!$H$10</f>
        <v>Инфраструктура для e-Comm</v>
      </c>
      <c r="R200" s="32">
        <f t="shared" ca="1" si="99"/>
        <v>0</v>
      </c>
      <c r="U200" s="33">
        <f t="shared" ref="U200:AB200" ca="1" si="102">IF((U12-U42+U106-U70)&gt;=0,U12-U42+U106-U70,0)</f>
        <v>0</v>
      </c>
      <c r="V200" s="33">
        <f t="shared" ca="1" si="102"/>
        <v>0</v>
      </c>
      <c r="W200" s="33">
        <f t="shared" ca="1" si="102"/>
        <v>0</v>
      </c>
      <c r="X200" s="33">
        <f t="shared" ca="1" si="102"/>
        <v>0</v>
      </c>
      <c r="Y200" s="33">
        <f t="shared" ca="1" si="102"/>
        <v>0</v>
      </c>
      <c r="Z200" s="33">
        <f t="shared" ca="1" si="102"/>
        <v>0</v>
      </c>
      <c r="AA200" s="33">
        <f t="shared" ca="1" si="102"/>
        <v>0</v>
      </c>
      <c r="AB200" s="33">
        <f t="shared" ca="1" si="102"/>
        <v>0</v>
      </c>
    </row>
    <row r="201" spans="2:28" x14ac:dyDescent="0.3">
      <c r="G201" s="1" t="s">
        <v>9</v>
      </c>
      <c r="R201" s="25">
        <f t="shared" ca="1" si="99"/>
        <v>0</v>
      </c>
      <c r="U201" s="2">
        <f ca="1">U13+U67-U71-U164</f>
        <v>23000000</v>
      </c>
      <c r="V201" s="2">
        <f t="shared" ref="V201:AB201" ca="1" si="103">V13+V67-V71-V164</f>
        <v>35000000</v>
      </c>
      <c r="W201" s="2">
        <f t="shared" ca="1" si="103"/>
        <v>6000000</v>
      </c>
      <c r="X201" s="2">
        <f t="shared" ca="1" si="103"/>
        <v>700000</v>
      </c>
      <c r="Y201" s="2">
        <f t="shared" ca="1" si="103"/>
        <v>29000000</v>
      </c>
      <c r="Z201" s="2">
        <f t="shared" ca="1" si="103"/>
        <v>35000000</v>
      </c>
      <c r="AA201" s="2">
        <f t="shared" ca="1" si="103"/>
        <v>15000000</v>
      </c>
      <c r="AB201" s="2">
        <f t="shared" ca="1" si="103"/>
        <v>0</v>
      </c>
    </row>
    <row r="202" spans="2:28" s="4" customFormat="1" ht="12" x14ac:dyDescent="0.25">
      <c r="B202" s="30"/>
      <c r="G202" s="31" t="str">
        <f>G201</f>
        <v>Незавершенные капзатраты</v>
      </c>
      <c r="H202" s="4" t="str">
        <f>Lists!$H$8</f>
        <v>Производственные цеха</v>
      </c>
      <c r="R202" s="32">
        <f t="shared" ca="1" si="99"/>
        <v>0</v>
      </c>
      <c r="U202" s="33">
        <f t="shared" ref="U202:AB202" ca="1" si="104">U14+U68-U72-U165</f>
        <v>20000000</v>
      </c>
      <c r="V202" s="33">
        <f t="shared" ca="1" si="104"/>
        <v>35000000</v>
      </c>
      <c r="W202" s="33">
        <f t="shared" ca="1" si="104"/>
        <v>0</v>
      </c>
      <c r="X202" s="33">
        <f t="shared" ca="1" si="104"/>
        <v>0</v>
      </c>
      <c r="Y202" s="33">
        <f t="shared" ca="1" si="104"/>
        <v>20000000</v>
      </c>
      <c r="Z202" s="33">
        <f t="shared" ca="1" si="104"/>
        <v>35000000</v>
      </c>
      <c r="AA202" s="33">
        <f t="shared" ca="1" si="104"/>
        <v>0</v>
      </c>
      <c r="AB202" s="33">
        <f t="shared" ca="1" si="104"/>
        <v>0</v>
      </c>
    </row>
    <row r="203" spans="2:28" s="4" customFormat="1" ht="12" x14ac:dyDescent="0.25">
      <c r="B203" s="30"/>
      <c r="G203" s="31" t="str">
        <f>G201</f>
        <v>Незавершенные капзатраты</v>
      </c>
      <c r="H203" s="4" t="str">
        <f>Lists!$H$9</f>
        <v>Торговые точки</v>
      </c>
      <c r="R203" s="32">
        <f t="shared" ca="1" si="99"/>
        <v>0</v>
      </c>
      <c r="U203" s="33">
        <f t="shared" ref="U203:AB203" ca="1" si="105">U15+U69-U73-U166</f>
        <v>3000000</v>
      </c>
      <c r="V203" s="33">
        <f t="shared" ca="1" si="105"/>
        <v>0</v>
      </c>
      <c r="W203" s="33">
        <f ca="1">W15+W69-W73-W166</f>
        <v>6000000</v>
      </c>
      <c r="X203" s="33">
        <f t="shared" ca="1" si="105"/>
        <v>0</v>
      </c>
      <c r="Y203" s="33">
        <f t="shared" ca="1" si="105"/>
        <v>9000000</v>
      </c>
      <c r="Z203" s="33">
        <f t="shared" ca="1" si="105"/>
        <v>0</v>
      </c>
      <c r="AA203" s="33">
        <f t="shared" ca="1" si="105"/>
        <v>15000000</v>
      </c>
      <c r="AB203" s="33">
        <f t="shared" ca="1" si="105"/>
        <v>0</v>
      </c>
    </row>
    <row r="204" spans="2:28" s="4" customFormat="1" ht="12" x14ac:dyDescent="0.25">
      <c r="B204" s="30"/>
      <c r="G204" s="31" t="str">
        <f>G201</f>
        <v>Незавершенные капзатраты</v>
      </c>
      <c r="H204" s="4" t="str">
        <f>Lists!$H$10</f>
        <v>Инфраструктура для e-Comm</v>
      </c>
      <c r="R204" s="32">
        <f t="shared" ca="1" si="99"/>
        <v>0</v>
      </c>
      <c r="U204" s="33">
        <f t="shared" ref="U204:AB204" ca="1" si="106">U16+U70-U74-U167</f>
        <v>0</v>
      </c>
      <c r="V204" s="33">
        <f t="shared" ca="1" si="106"/>
        <v>0</v>
      </c>
      <c r="W204" s="33">
        <f t="shared" ca="1" si="106"/>
        <v>0</v>
      </c>
      <c r="X204" s="33">
        <f t="shared" ca="1" si="106"/>
        <v>700000</v>
      </c>
      <c r="Y204" s="33">
        <f t="shared" ca="1" si="106"/>
        <v>0</v>
      </c>
      <c r="Z204" s="33">
        <f t="shared" ca="1" si="106"/>
        <v>0</v>
      </c>
      <c r="AA204" s="33">
        <f t="shared" ca="1" si="106"/>
        <v>0</v>
      </c>
      <c r="AB204" s="33">
        <f t="shared" ca="1" si="106"/>
        <v>0</v>
      </c>
    </row>
    <row r="205" spans="2:28" x14ac:dyDescent="0.3">
      <c r="G205" s="1" t="s">
        <v>10</v>
      </c>
      <c r="R205" s="25">
        <f t="shared" ca="1" si="99"/>
        <v>107678571.42857142</v>
      </c>
      <c r="U205" s="2">
        <f ca="1">U17+U71+U75-U160-U168</f>
        <v>0</v>
      </c>
      <c r="V205" s="2">
        <f ca="1">V17+V71+V75-V160-V168</f>
        <v>3500000</v>
      </c>
      <c r="W205" s="2">
        <f ca="1">W17+W71+W75-W160-W168</f>
        <v>39441666.666666664</v>
      </c>
      <c r="X205" s="2">
        <f ca="1">X17+X71+X75-X160-X168</f>
        <v>45954761.904761903</v>
      </c>
      <c r="Y205" s="2">
        <f ca="1">Y17+Y71+Y75-Y160-Y168</f>
        <v>46351190.476190478</v>
      </c>
      <c r="Z205" s="2">
        <f ca="1">Z17+Z71+Z75-Z160-Z168</f>
        <v>56219841.269841269</v>
      </c>
      <c r="AA205" s="2">
        <f ca="1">AA17+AA71+AA75-AA160-AA168</f>
        <v>91413492.06349206</v>
      </c>
      <c r="AB205" s="2">
        <f ca="1">AB17+AB71+AB75-AB160-AB168</f>
        <v>107678571.42857142</v>
      </c>
    </row>
    <row r="206" spans="2:28" s="4" customFormat="1" ht="12" x14ac:dyDescent="0.25">
      <c r="B206" s="30"/>
      <c r="G206" s="31" t="str">
        <f>G205</f>
        <v>ОС</v>
      </c>
      <c r="H206" s="4" t="str">
        <f>Lists!$H$8</f>
        <v>Производственные цеха</v>
      </c>
      <c r="R206" s="32">
        <f t="shared" ca="1" si="99"/>
        <v>69428571.428571448</v>
      </c>
      <c r="U206" s="33">
        <f t="shared" ref="U206:AB206" ca="1" si="107">U18+U72+U76-U161-U169</f>
        <v>0</v>
      </c>
      <c r="V206" s="33">
        <f t="shared" ca="1" si="107"/>
        <v>0</v>
      </c>
      <c r="W206" s="33">
        <f t="shared" ca="1" si="107"/>
        <v>36000000</v>
      </c>
      <c r="X206" s="33">
        <f t="shared" ca="1" si="107"/>
        <v>35571428.571428575</v>
      </c>
      <c r="Y206" s="33">
        <f t="shared" ca="1" si="107"/>
        <v>35142857.142857149</v>
      </c>
      <c r="Z206" s="33">
        <f t="shared" ca="1" si="107"/>
        <v>34714285.714285724</v>
      </c>
      <c r="AA206" s="33">
        <f t="shared" ca="1" si="107"/>
        <v>70285714.285714298</v>
      </c>
      <c r="AB206" s="33">
        <f t="shared" ca="1" si="107"/>
        <v>69428571.428571448</v>
      </c>
    </row>
    <row r="207" spans="2:28" s="4" customFormat="1" ht="12" x14ac:dyDescent="0.25">
      <c r="B207" s="30"/>
      <c r="G207" s="31" t="str">
        <f>G205</f>
        <v>ОС</v>
      </c>
      <c r="H207" s="4" t="str">
        <f>Lists!$H$9</f>
        <v>Торговые точки</v>
      </c>
      <c r="R207" s="32">
        <f t="shared" ca="1" si="99"/>
        <v>37333333.333333328</v>
      </c>
      <c r="U207" s="33">
        <f t="shared" ref="U207:AB207" ca="1" si="108">U19+U73+U77-U162-U170</f>
        <v>0</v>
      </c>
      <c r="V207" s="33">
        <f t="shared" ca="1" si="108"/>
        <v>3500000</v>
      </c>
      <c r="W207" s="33">
        <f t="shared" ca="1" si="108"/>
        <v>3441666.6666666665</v>
      </c>
      <c r="X207" s="33">
        <f ca="1">X19+X73+X77-X162-X170</f>
        <v>10383333.333333332</v>
      </c>
      <c r="Y207" s="33">
        <f t="shared" ca="1" si="108"/>
        <v>10208333.333333332</v>
      </c>
      <c r="Z207" s="33">
        <f t="shared" ca="1" si="108"/>
        <v>20533333.333333332</v>
      </c>
      <c r="AA207" s="33">
        <f t="shared" ca="1" si="108"/>
        <v>20183333.333333332</v>
      </c>
      <c r="AB207" s="33">
        <f t="shared" ca="1" si="108"/>
        <v>37333333.333333328</v>
      </c>
    </row>
    <row r="208" spans="2:28" s="4" customFormat="1" ht="12" x14ac:dyDescent="0.25">
      <c r="B208" s="30"/>
      <c r="G208" s="31" t="str">
        <f>G205</f>
        <v>ОС</v>
      </c>
      <c r="H208" s="4" t="str">
        <f>Lists!$H$10</f>
        <v>Инфраструктура для e-Comm</v>
      </c>
      <c r="R208" s="32">
        <f t="shared" ca="1" si="99"/>
        <v>916666.66666666674</v>
      </c>
      <c r="U208" s="33">
        <f t="shared" ref="U208:AB208" ca="1" si="109">U20+U74+U78-U163-U171</f>
        <v>0</v>
      </c>
      <c r="V208" s="33">
        <f t="shared" ca="1" si="109"/>
        <v>0</v>
      </c>
      <c r="W208" s="33">
        <f t="shared" ca="1" si="109"/>
        <v>0</v>
      </c>
      <c r="X208" s="33">
        <f t="shared" ca="1" si="109"/>
        <v>0</v>
      </c>
      <c r="Y208" s="33">
        <f t="shared" ca="1" si="109"/>
        <v>1000000</v>
      </c>
      <c r="Z208" s="33">
        <f t="shared" ca="1" si="109"/>
        <v>972222.22222222225</v>
      </c>
      <c r="AA208" s="33">
        <f t="shared" ca="1" si="109"/>
        <v>944444.4444444445</v>
      </c>
      <c r="AB208" s="33">
        <f t="shared" ca="1" si="109"/>
        <v>916666.66666666674</v>
      </c>
    </row>
    <row r="209" spans="2:28" x14ac:dyDescent="0.3">
      <c r="G209" s="1" t="s">
        <v>11</v>
      </c>
      <c r="R209" s="25">
        <f t="shared" ca="1" si="99"/>
        <v>0</v>
      </c>
      <c r="U209" s="2">
        <f>U21+U79-U149</f>
        <v>0</v>
      </c>
      <c r="V209" s="2">
        <f t="shared" ref="V209:AB209" si="110">V21+V79-V149</f>
        <v>0</v>
      </c>
      <c r="W209" s="2">
        <f t="shared" si="110"/>
        <v>0</v>
      </c>
      <c r="X209" s="2">
        <f t="shared" si="110"/>
        <v>0</v>
      </c>
      <c r="Y209" s="2">
        <f t="shared" si="110"/>
        <v>0</v>
      </c>
      <c r="Z209" s="2">
        <f t="shared" si="110"/>
        <v>0</v>
      </c>
      <c r="AA209" s="2">
        <f t="shared" si="110"/>
        <v>0</v>
      </c>
      <c r="AB209" s="2">
        <f t="shared" si="110"/>
        <v>0</v>
      </c>
    </row>
    <row r="210" spans="2:28" x14ac:dyDescent="0.3">
      <c r="G210" s="1" t="s">
        <v>12</v>
      </c>
      <c r="R210" s="25">
        <f t="shared" ca="1" si="99"/>
        <v>0</v>
      </c>
      <c r="U210" s="2">
        <f>IF((U22-U44+U88-U80)&gt;=0,U22-U44+U88-U80,0)</f>
        <v>0</v>
      </c>
      <c r="V210" s="2">
        <f t="shared" ref="V210:AB210" si="111">IF((V22-V44+V88-V80)&gt;=0,V22-V44+V88-V80,0)</f>
        <v>0</v>
      </c>
      <c r="W210" s="2">
        <f t="shared" si="111"/>
        <v>0</v>
      </c>
      <c r="X210" s="2">
        <f t="shared" si="111"/>
        <v>0</v>
      </c>
      <c r="Y210" s="2">
        <f t="shared" si="111"/>
        <v>0</v>
      </c>
      <c r="Z210" s="2">
        <f t="shared" si="111"/>
        <v>0</v>
      </c>
      <c r="AA210" s="2">
        <f t="shared" si="111"/>
        <v>0</v>
      </c>
      <c r="AB210" s="2">
        <f t="shared" si="111"/>
        <v>0</v>
      </c>
    </row>
    <row r="211" spans="2:28" x14ac:dyDescent="0.3">
      <c r="G211" s="1" t="s">
        <v>13</v>
      </c>
      <c r="R211" s="25">
        <f t="shared" ca="1" si="99"/>
        <v>0</v>
      </c>
      <c r="U211" s="2">
        <f>U23+U80-U81</f>
        <v>0</v>
      </c>
      <c r="V211" s="2">
        <f t="shared" ref="V211:AB211" si="112">V23+V80-V81</f>
        <v>0</v>
      </c>
      <c r="W211" s="2">
        <f t="shared" si="112"/>
        <v>70000</v>
      </c>
      <c r="X211" s="2">
        <f t="shared" si="112"/>
        <v>0</v>
      </c>
      <c r="Y211" s="2">
        <f t="shared" si="112"/>
        <v>0</v>
      </c>
      <c r="Z211" s="2">
        <f t="shared" si="112"/>
        <v>0</v>
      </c>
      <c r="AA211" s="2">
        <f t="shared" si="112"/>
        <v>0</v>
      </c>
      <c r="AB211" s="2">
        <f t="shared" si="112"/>
        <v>0</v>
      </c>
    </row>
    <row r="212" spans="2:28" x14ac:dyDescent="0.3">
      <c r="G212" s="1" t="s">
        <v>14</v>
      </c>
      <c r="R212" s="25">
        <f t="shared" ca="1" si="99"/>
        <v>0</v>
      </c>
      <c r="U212" s="2">
        <f>U24+U81+U82-U147</f>
        <v>0</v>
      </c>
      <c r="V212" s="2">
        <f t="shared" ref="V212:AB212" si="113">V24+V81+V82-V147</f>
        <v>0</v>
      </c>
      <c r="W212" s="2">
        <f t="shared" si="113"/>
        <v>0</v>
      </c>
      <c r="X212" s="2">
        <f t="shared" si="113"/>
        <v>0</v>
      </c>
      <c r="Y212" s="2">
        <f t="shared" si="113"/>
        <v>0</v>
      </c>
      <c r="Z212" s="2">
        <f t="shared" si="113"/>
        <v>0</v>
      </c>
      <c r="AA212" s="2">
        <f t="shared" si="113"/>
        <v>0</v>
      </c>
      <c r="AB212" s="2">
        <f t="shared" si="113"/>
        <v>0</v>
      </c>
    </row>
    <row r="213" spans="2:28" x14ac:dyDescent="0.3">
      <c r="G213" s="1" t="s">
        <v>15</v>
      </c>
      <c r="R213" s="25">
        <f t="shared" ca="1" si="99"/>
        <v>1705000</v>
      </c>
      <c r="U213" s="2">
        <f>IF((U25-U47-U87+U146)&gt;=0,U25-U47-U87+U146,0)</f>
        <v>0</v>
      </c>
      <c r="V213" s="2">
        <f t="shared" ref="V213:AB213" si="114">IF((V25-V47-V87+V146)&gt;=0,V25-V47-V87+V146,0)</f>
        <v>0</v>
      </c>
      <c r="W213" s="2">
        <f t="shared" si="114"/>
        <v>0</v>
      </c>
      <c r="X213" s="2">
        <f t="shared" si="114"/>
        <v>120000</v>
      </c>
      <c r="Y213" s="2">
        <f t="shared" si="114"/>
        <v>700000</v>
      </c>
      <c r="Z213" s="2">
        <f t="shared" si="114"/>
        <v>705000</v>
      </c>
      <c r="AA213" s="2">
        <f t="shared" si="114"/>
        <v>1705000</v>
      </c>
      <c r="AB213" s="2">
        <f t="shared" si="114"/>
        <v>1705000</v>
      </c>
    </row>
    <row r="214" spans="2:28" x14ac:dyDescent="0.3">
      <c r="G214" s="1" t="s">
        <v>16</v>
      </c>
      <c r="R214" s="25">
        <f t="shared" ca="1" si="99"/>
        <v>0</v>
      </c>
      <c r="U214" s="2">
        <f>U26+U124-U120</f>
        <v>0</v>
      </c>
      <c r="V214" s="2">
        <f t="shared" ref="V214:AB214" si="115">V26+V124-V120</f>
        <v>0</v>
      </c>
      <c r="W214" s="2">
        <f t="shared" si="115"/>
        <v>0</v>
      </c>
      <c r="X214" s="2">
        <f t="shared" si="115"/>
        <v>0</v>
      </c>
      <c r="Y214" s="2">
        <f t="shared" si="115"/>
        <v>0</v>
      </c>
      <c r="Z214" s="2">
        <f t="shared" si="115"/>
        <v>0</v>
      </c>
      <c r="AA214" s="2">
        <f t="shared" si="115"/>
        <v>0</v>
      </c>
      <c r="AB214" s="2">
        <f t="shared" si="115"/>
        <v>0</v>
      </c>
    </row>
    <row r="215" spans="2:28" x14ac:dyDescent="0.3">
      <c r="G215" s="1" t="s">
        <v>17</v>
      </c>
      <c r="R215" s="25">
        <f t="shared" ca="1" si="99"/>
        <v>-61007375</v>
      </c>
      <c r="U215" s="2">
        <f ca="1">U27+U140</f>
        <v>37990000</v>
      </c>
      <c r="V215" s="2">
        <f t="shared" ref="V215:AB215" ca="1" si="116">V27+V140</f>
        <v>21730000</v>
      </c>
      <c r="W215" s="2">
        <f t="shared" ca="1" si="116"/>
        <v>8585000</v>
      </c>
      <c r="X215" s="2">
        <f t="shared" ca="1" si="116"/>
        <v>3188200</v>
      </c>
      <c r="Y215" s="2">
        <f t="shared" ca="1" si="116"/>
        <v>-12002300</v>
      </c>
      <c r="Z215" s="2">
        <f t="shared" ca="1" si="116"/>
        <v>-32672375</v>
      </c>
      <c r="AA215" s="2">
        <f t="shared" ca="1" si="116"/>
        <v>-49647375</v>
      </c>
      <c r="AB215" s="2">
        <f t="shared" ca="1" si="116"/>
        <v>-61007375</v>
      </c>
    </row>
    <row r="216" spans="2:28" x14ac:dyDescent="0.3">
      <c r="G216" s="1" t="s">
        <v>18</v>
      </c>
      <c r="R216" s="25">
        <f t="shared" ca="1" si="99"/>
        <v>0</v>
      </c>
      <c r="U216" s="2">
        <f>U28+U59-U114</f>
        <v>0</v>
      </c>
      <c r="V216" s="2">
        <f t="shared" ref="V216:AB216" si="117">V28+V59-V114</f>
        <v>0</v>
      </c>
      <c r="W216" s="2">
        <f t="shared" si="117"/>
        <v>0</v>
      </c>
      <c r="X216" s="2">
        <f t="shared" si="117"/>
        <v>0</v>
      </c>
      <c r="Y216" s="2">
        <f t="shared" si="117"/>
        <v>0</v>
      </c>
      <c r="Z216" s="2">
        <f t="shared" si="117"/>
        <v>0</v>
      </c>
      <c r="AA216" s="2">
        <f t="shared" si="117"/>
        <v>0</v>
      </c>
      <c r="AB216" s="2">
        <f t="shared" si="117"/>
        <v>0</v>
      </c>
    </row>
    <row r="217" spans="2:28" ht="4.95" customHeight="1" x14ac:dyDescent="0.3"/>
    <row r="218" spans="2:28" s="4" customFormat="1" ht="12" x14ac:dyDescent="0.25">
      <c r="B218" s="10"/>
      <c r="F218" s="4" t="s">
        <v>19</v>
      </c>
      <c r="R218" s="16">
        <f ca="1">SUM($T218:INDIRECT(ADDRESS(ROW(),SUMIFS($1:$1,$3:$3,MAX($3:$3)))))</f>
        <v>0</v>
      </c>
      <c r="U218" s="8">
        <f ca="1">IF(ABS(U196-U220)&lt;=0.001,0,U196-U220)</f>
        <v>0</v>
      </c>
      <c r="V218" s="8">
        <f t="shared" ref="V218:AB218" ca="1" si="118">IF(ABS(V196-V220)&lt;=0.001,0,V196-V220)</f>
        <v>0</v>
      </c>
      <c r="W218" s="8">
        <f t="shared" ca="1" si="118"/>
        <v>0</v>
      </c>
      <c r="X218" s="8">
        <f t="shared" ca="1" si="118"/>
        <v>0</v>
      </c>
      <c r="Y218" s="8">
        <f t="shared" ca="1" si="118"/>
        <v>0</v>
      </c>
      <c r="Z218" s="8">
        <f t="shared" ca="1" si="118"/>
        <v>0</v>
      </c>
      <c r="AA218" s="8">
        <f t="shared" ca="1" si="118"/>
        <v>0</v>
      </c>
      <c r="AB218" s="8">
        <f t="shared" ca="1" si="118"/>
        <v>0</v>
      </c>
    </row>
    <row r="219" spans="2:28" ht="4.95" customHeight="1" x14ac:dyDescent="0.3"/>
    <row r="220" spans="2:28" x14ac:dyDescent="0.3">
      <c r="F220" s="1" t="s">
        <v>20</v>
      </c>
      <c r="R220" s="3">
        <f ca="1">SUMIFS(R221:R244,$G221:$G244,"&lt;&gt;"&amp;"",$H221:$H244,"")</f>
        <v>48376196.428571433</v>
      </c>
      <c r="U220" s="2">
        <f ca="1">SUMIFS(U221:U244,$G221:$G244,"&lt;&gt;"&amp;"",$H221:$H244,"")</f>
        <v>60990000</v>
      </c>
      <c r="V220" s="2">
        <f t="shared" ref="V220:AB220" ca="1" si="119">SUMIFS(V221:V244,$G221:$G244,"&lt;&gt;"&amp;"",$H221:$H244,"")</f>
        <v>60230000</v>
      </c>
      <c r="W220" s="2">
        <f t="shared" ca="1" si="119"/>
        <v>54096666.666666664</v>
      </c>
      <c r="X220" s="2">
        <f t="shared" ca="1" si="119"/>
        <v>49962961.904761903</v>
      </c>
      <c r="Y220" s="2">
        <f t="shared" ca="1" si="119"/>
        <v>64048890.476190478</v>
      </c>
      <c r="Z220" s="2">
        <f t="shared" ca="1" si="119"/>
        <v>59252466.269841269</v>
      </c>
      <c r="AA220" s="2">
        <f t="shared" ca="1" si="119"/>
        <v>58471117.06349206</v>
      </c>
      <c r="AB220" s="2">
        <f t="shared" ca="1" si="119"/>
        <v>48376196.428571433</v>
      </c>
    </row>
    <row r="221" spans="2:28" x14ac:dyDescent="0.3">
      <c r="G221" s="1" t="s">
        <v>21</v>
      </c>
      <c r="R221" s="3">
        <f ca="1">SUM(R222:R226)</f>
        <v>46304678.571428575</v>
      </c>
      <c r="U221" s="2">
        <f ca="1">SUM(U222:U226)</f>
        <v>49840000</v>
      </c>
      <c r="V221" s="2">
        <f t="shared" ref="V221:AB221" ca="1" si="120">SUM(V222:V226)</f>
        <v>49680000</v>
      </c>
      <c r="W221" s="2">
        <f ca="1">SUM(W222:W226)</f>
        <v>49458750</v>
      </c>
      <c r="X221" s="2">
        <f ca="1">SUM(X222:X226)</f>
        <v>48812177.182539679</v>
      </c>
      <c r="Y221" s="2">
        <f t="shared" ca="1" si="120"/>
        <v>48684988.690476194</v>
      </c>
      <c r="Z221" s="2">
        <f t="shared" ca="1" si="120"/>
        <v>47846128.96825397</v>
      </c>
      <c r="AA221" s="2">
        <f t="shared" ca="1" si="120"/>
        <v>47804275.793650791</v>
      </c>
      <c r="AB221" s="2">
        <f t="shared" ca="1" si="120"/>
        <v>46304678.571428575</v>
      </c>
    </row>
    <row r="222" spans="2:28" x14ac:dyDescent="0.3">
      <c r="G222" s="1" t="str">
        <f>$G$33</f>
        <v>Собственный капитал</v>
      </c>
      <c r="H222" s="1" t="s">
        <v>22</v>
      </c>
      <c r="R222" s="25">
        <f t="shared" ref="R222:R243" ca="1" si="121">INDIRECT(ADDRESS(ROW(),SUMIFS($1:$1,$3:$3,MAX($3:$3))))</f>
        <v>50000000</v>
      </c>
      <c r="U222" s="2">
        <f>U34+U59-U60-U61-U62</f>
        <v>50000000</v>
      </c>
      <c r="V222" s="2">
        <f t="shared" ref="V222:AB222" si="122">V34+V59-V60-V61-V62</f>
        <v>50000000</v>
      </c>
      <c r="W222" s="2">
        <f t="shared" si="122"/>
        <v>50000000</v>
      </c>
      <c r="X222" s="2">
        <f t="shared" si="122"/>
        <v>50000000</v>
      </c>
      <c r="Y222" s="2">
        <f t="shared" si="122"/>
        <v>50000000</v>
      </c>
      <c r="Z222" s="2">
        <f t="shared" si="122"/>
        <v>50000000</v>
      </c>
      <c r="AA222" s="2">
        <f t="shared" si="122"/>
        <v>50000000</v>
      </c>
      <c r="AB222" s="2">
        <f t="shared" si="122"/>
        <v>50000000</v>
      </c>
    </row>
    <row r="223" spans="2:28" x14ac:dyDescent="0.3">
      <c r="G223" s="1" t="str">
        <f t="shared" ref="G223:G226" si="123">$G$33</f>
        <v>Собственный капитал</v>
      </c>
      <c r="H223" s="1" t="s">
        <v>23</v>
      </c>
      <c r="R223" s="25">
        <f t="shared" ca="1" si="121"/>
        <v>0</v>
      </c>
      <c r="U223" s="2">
        <f>U35+U61+U63-U64-U65</f>
        <v>0</v>
      </c>
      <c r="V223" s="2">
        <f t="shared" ref="V223:AB223" si="124">V35+V61+V63-V64-V65</f>
        <v>0</v>
      </c>
      <c r="W223" s="2">
        <f t="shared" si="124"/>
        <v>0</v>
      </c>
      <c r="X223" s="2">
        <f t="shared" si="124"/>
        <v>0</v>
      </c>
      <c r="Y223" s="2">
        <f t="shared" si="124"/>
        <v>0</v>
      </c>
      <c r="Z223" s="2">
        <f t="shared" si="124"/>
        <v>0</v>
      </c>
      <c r="AA223" s="2">
        <f t="shared" si="124"/>
        <v>0</v>
      </c>
      <c r="AB223" s="2">
        <f t="shared" si="124"/>
        <v>0</v>
      </c>
    </row>
    <row r="224" spans="2:28" x14ac:dyDescent="0.3">
      <c r="G224" s="1" t="str">
        <f t="shared" si="123"/>
        <v>Собственный капитал</v>
      </c>
      <c r="H224" s="1" t="s">
        <v>24</v>
      </c>
      <c r="R224" s="25">
        <f t="shared" ca="1" si="121"/>
        <v>-3695321.4285714282</v>
      </c>
      <c r="U224" s="2">
        <f ca="1">U36+U190</f>
        <v>-160000</v>
      </c>
      <c r="V224" s="2">
        <f t="shared" ref="V224:AB224" ca="1" si="125">V36+V190</f>
        <v>-320000</v>
      </c>
      <c r="W224" s="2">
        <f t="shared" ca="1" si="125"/>
        <v>-541250</v>
      </c>
      <c r="X224" s="2">
        <f t="shared" ca="1" si="125"/>
        <v>-1187822.8174603174</v>
      </c>
      <c r="Y224" s="2">
        <f t="shared" ca="1" si="125"/>
        <v>-1315011.3095238095</v>
      </c>
      <c r="Z224" s="2">
        <f t="shared" ca="1" si="125"/>
        <v>-2153871.0317460317</v>
      </c>
      <c r="AA224" s="2">
        <f t="shared" ca="1" si="125"/>
        <v>-2195724.2063492062</v>
      </c>
      <c r="AB224" s="2">
        <f t="shared" ca="1" si="125"/>
        <v>-3695321.4285714282</v>
      </c>
    </row>
    <row r="225" spans="2:28" x14ac:dyDescent="0.3">
      <c r="G225" s="1" t="str">
        <f t="shared" si="123"/>
        <v>Собственный капитал</v>
      </c>
      <c r="H225" s="1" t="s">
        <v>25</v>
      </c>
      <c r="R225" s="25">
        <f t="shared" ca="1" si="121"/>
        <v>0</v>
      </c>
      <c r="U225" s="2">
        <f t="shared" ref="U225:W225" si="126">U37+U189</f>
        <v>0</v>
      </c>
      <c r="V225" s="2">
        <f t="shared" si="126"/>
        <v>0</v>
      </c>
      <c r="W225" s="2">
        <f t="shared" si="126"/>
        <v>0</v>
      </c>
      <c r="X225" s="2">
        <f>X37+X189</f>
        <v>0</v>
      </c>
      <c r="Y225" s="2">
        <f t="shared" ref="Y225:AB225" si="127">Y37+Y189</f>
        <v>0</v>
      </c>
      <c r="Z225" s="2">
        <f t="shared" si="127"/>
        <v>0</v>
      </c>
      <c r="AA225" s="2">
        <f t="shared" si="127"/>
        <v>0</v>
      </c>
      <c r="AB225" s="2">
        <f t="shared" si="127"/>
        <v>0</v>
      </c>
    </row>
    <row r="226" spans="2:28" x14ac:dyDescent="0.3">
      <c r="G226" s="1" t="str">
        <f t="shared" si="123"/>
        <v>Собственный капитал</v>
      </c>
      <c r="H226" s="1" t="s">
        <v>26</v>
      </c>
      <c r="R226" s="25">
        <f t="shared" ca="1" si="121"/>
        <v>0</v>
      </c>
      <c r="U226" s="2">
        <f>U38+U66</f>
        <v>0</v>
      </c>
      <c r="V226" s="2">
        <f t="shared" ref="V226:AB226" si="128">V38+V66</f>
        <v>0</v>
      </c>
      <c r="W226" s="2">
        <f t="shared" si="128"/>
        <v>0</v>
      </c>
      <c r="X226" s="2">
        <f t="shared" si="128"/>
        <v>0</v>
      </c>
      <c r="Y226" s="2">
        <f t="shared" si="128"/>
        <v>0</v>
      </c>
      <c r="Z226" s="2">
        <f t="shared" si="128"/>
        <v>0</v>
      </c>
      <c r="AA226" s="2">
        <f t="shared" si="128"/>
        <v>0</v>
      </c>
      <c r="AB226" s="2">
        <f t="shared" si="128"/>
        <v>0</v>
      </c>
    </row>
    <row r="227" spans="2:28" x14ac:dyDescent="0.3">
      <c r="G227" s="1" t="s">
        <v>27</v>
      </c>
      <c r="R227" s="25">
        <f t="shared" ca="1" si="121"/>
        <v>1750000</v>
      </c>
      <c r="U227" s="2">
        <f ca="1">IF((U39-U9+U67-U103)&gt;=0,U39-U9+U67-U103,0)</f>
        <v>11150000</v>
      </c>
      <c r="V227" s="2">
        <f t="shared" ref="V227:AB227" ca="1" si="129">IF((V39-V9+V67-V103)&gt;=0,V39-V9+V67-V103,0)</f>
        <v>10550000</v>
      </c>
      <c r="W227" s="2">
        <f t="shared" ca="1" si="129"/>
        <v>4600000</v>
      </c>
      <c r="X227" s="2">
        <f t="shared" ca="1" si="129"/>
        <v>1100000</v>
      </c>
      <c r="Y227" s="2">
        <f t="shared" ca="1" si="129"/>
        <v>15260000</v>
      </c>
      <c r="Z227" s="2">
        <f t="shared" ca="1" si="129"/>
        <v>11250000</v>
      </c>
      <c r="AA227" s="2">
        <f t="shared" ca="1" si="129"/>
        <v>10450000</v>
      </c>
      <c r="AB227" s="2">
        <f t="shared" ca="1" si="129"/>
        <v>1750000</v>
      </c>
    </row>
    <row r="228" spans="2:28" s="4" customFormat="1" ht="12" x14ac:dyDescent="0.25">
      <c r="B228" s="30"/>
      <c r="G228" s="31" t="str">
        <f>G227</f>
        <v>КЗ по капзатратам</v>
      </c>
      <c r="H228" s="4" t="str">
        <f>Lists!$H$8</f>
        <v>Производственные цеха</v>
      </c>
      <c r="R228" s="32">
        <f t="shared" ca="1" si="121"/>
        <v>0</v>
      </c>
      <c r="U228" s="33">
        <f t="shared" ref="U228:AB228" ca="1" si="130">IF((U40-U10+U68-U104)&gt;=0,U40-U10+U68-U104,0)</f>
        <v>9200000</v>
      </c>
      <c r="V228" s="33">
        <f t="shared" ca="1" si="130"/>
        <v>10200000</v>
      </c>
      <c r="W228" s="33">
        <f t="shared" ca="1" si="130"/>
        <v>700000</v>
      </c>
      <c r="X228" s="33">
        <f t="shared" ca="1" si="130"/>
        <v>0</v>
      </c>
      <c r="Y228" s="33">
        <f t="shared" ca="1" si="130"/>
        <v>9200000</v>
      </c>
      <c r="Z228" s="33">
        <f t="shared" ca="1" si="130"/>
        <v>10200000</v>
      </c>
      <c r="AA228" s="33">
        <f t="shared" ca="1" si="130"/>
        <v>700000</v>
      </c>
      <c r="AB228" s="33">
        <f t="shared" ca="1" si="130"/>
        <v>0</v>
      </c>
    </row>
    <row r="229" spans="2:28" s="4" customFormat="1" ht="12" x14ac:dyDescent="0.25">
      <c r="B229" s="30"/>
      <c r="G229" s="31" t="str">
        <f>G227</f>
        <v>КЗ по капзатратам</v>
      </c>
      <c r="H229" s="4" t="str">
        <f>Lists!$H$9</f>
        <v>Торговые точки</v>
      </c>
      <c r="R229" s="32">
        <f t="shared" ca="1" si="121"/>
        <v>1750000</v>
      </c>
      <c r="U229" s="33">
        <f t="shared" ref="U229:AB229" ca="1" si="131">IF((U41-U11+U69-U105)&gt;=0,U41-U11+U69-U105,0)</f>
        <v>1950000</v>
      </c>
      <c r="V229" s="33">
        <f t="shared" ca="1" si="131"/>
        <v>350000</v>
      </c>
      <c r="W229" s="33">
        <f t="shared" ca="1" si="131"/>
        <v>3900000</v>
      </c>
      <c r="X229" s="33">
        <f ca="1">IF((X41-X11+X69-X105)&gt;=0,X41-X11+X69-X105,0)</f>
        <v>700000</v>
      </c>
      <c r="Y229" s="33">
        <f t="shared" ca="1" si="131"/>
        <v>5850000</v>
      </c>
      <c r="Z229" s="33">
        <f t="shared" ca="1" si="131"/>
        <v>1050000</v>
      </c>
      <c r="AA229" s="33">
        <f t="shared" ca="1" si="131"/>
        <v>9750000</v>
      </c>
      <c r="AB229" s="33">
        <f t="shared" ca="1" si="131"/>
        <v>1750000</v>
      </c>
    </row>
    <row r="230" spans="2:28" s="4" customFormat="1" ht="12" x14ac:dyDescent="0.25">
      <c r="B230" s="30"/>
      <c r="G230" s="31" t="str">
        <f>G227</f>
        <v>КЗ по капзатратам</v>
      </c>
      <c r="H230" s="4" t="str">
        <f>Lists!$H$10</f>
        <v>Инфраструктура для e-Comm</v>
      </c>
      <c r="R230" s="32">
        <f t="shared" ca="1" si="121"/>
        <v>5.8207660913467407E-11</v>
      </c>
      <c r="U230" s="33">
        <f t="shared" ref="U230:AB230" ca="1" si="132">IF((U42-U12+U70-U106)&gt;=0,U42-U12+U70-U106,0)</f>
        <v>0</v>
      </c>
      <c r="V230" s="33">
        <f t="shared" ca="1" si="132"/>
        <v>0</v>
      </c>
      <c r="W230" s="33">
        <f t="shared" ca="1" si="132"/>
        <v>0</v>
      </c>
      <c r="X230" s="33">
        <f t="shared" ca="1" si="132"/>
        <v>400000</v>
      </c>
      <c r="Y230" s="33">
        <f t="shared" ca="1" si="132"/>
        <v>210000.00000000006</v>
      </c>
      <c r="Z230" s="33">
        <f t="shared" ca="1" si="132"/>
        <v>5.8207660913467407E-11</v>
      </c>
      <c r="AA230" s="33">
        <f t="shared" ca="1" si="132"/>
        <v>5.8207660913467407E-11</v>
      </c>
      <c r="AB230" s="33">
        <f t="shared" ca="1" si="132"/>
        <v>5.8207660913467407E-11</v>
      </c>
    </row>
    <row r="231" spans="2:28" x14ac:dyDescent="0.3">
      <c r="G231" s="1" t="s">
        <v>28</v>
      </c>
      <c r="R231" s="25">
        <f t="shared" ca="1" si="121"/>
        <v>0</v>
      </c>
      <c r="U231" s="2">
        <f>U43+U79-U90</f>
        <v>0</v>
      </c>
      <c r="V231" s="2">
        <f t="shared" ref="V231:AB231" si="133">V43+V79-V90</f>
        <v>0</v>
      </c>
      <c r="W231" s="2">
        <f t="shared" si="133"/>
        <v>0</v>
      </c>
      <c r="X231" s="2">
        <f t="shared" si="133"/>
        <v>0</v>
      </c>
      <c r="Y231" s="2">
        <f t="shared" si="133"/>
        <v>0</v>
      </c>
      <c r="Z231" s="2">
        <f t="shared" si="133"/>
        <v>0</v>
      </c>
      <c r="AA231" s="2">
        <f t="shared" si="133"/>
        <v>0</v>
      </c>
      <c r="AB231" s="2">
        <f t="shared" si="133"/>
        <v>0</v>
      </c>
    </row>
    <row r="232" spans="2:28" x14ac:dyDescent="0.3">
      <c r="G232" s="1" t="s">
        <v>29</v>
      </c>
      <c r="R232" s="25">
        <f t="shared" ca="1" si="121"/>
        <v>0</v>
      </c>
      <c r="U232" s="2">
        <f>IF((U44-U22+U80-U88)&gt;=0,U44-U22+U80-U88,0)</f>
        <v>0</v>
      </c>
      <c r="V232" s="2">
        <f t="shared" ref="V232:AB232" si="134">IF((V44-V22+V80-V88)&gt;=0,V44-V22+V80-V88,0)</f>
        <v>0</v>
      </c>
      <c r="W232" s="2">
        <f t="shared" si="134"/>
        <v>35000</v>
      </c>
      <c r="X232" s="2">
        <f t="shared" si="134"/>
        <v>0</v>
      </c>
      <c r="Y232" s="2">
        <f t="shared" si="134"/>
        <v>0</v>
      </c>
      <c r="Z232" s="2">
        <f t="shared" si="134"/>
        <v>0</v>
      </c>
      <c r="AA232" s="2">
        <f t="shared" si="134"/>
        <v>0</v>
      </c>
      <c r="AB232" s="2">
        <f t="shared" si="134"/>
        <v>0</v>
      </c>
    </row>
    <row r="233" spans="2:28" x14ac:dyDescent="0.3">
      <c r="G233" s="1" t="s">
        <v>30</v>
      </c>
      <c r="R233" s="25">
        <f t="shared" ca="1" si="121"/>
        <v>0</v>
      </c>
      <c r="U233" s="2">
        <f>U45+U157-U98</f>
        <v>0</v>
      </c>
      <c r="V233" s="2">
        <f t="shared" ref="V233:AB233" si="135">V45+V157-V98</f>
        <v>0</v>
      </c>
      <c r="W233" s="2">
        <f t="shared" si="135"/>
        <v>0</v>
      </c>
      <c r="X233" s="2">
        <f t="shared" si="135"/>
        <v>0</v>
      </c>
      <c r="Y233" s="2">
        <f t="shared" si="135"/>
        <v>0</v>
      </c>
      <c r="Z233" s="2">
        <f t="shared" si="135"/>
        <v>0</v>
      </c>
      <c r="AA233" s="2">
        <f t="shared" si="135"/>
        <v>0</v>
      </c>
      <c r="AB233" s="2">
        <f t="shared" si="135"/>
        <v>0</v>
      </c>
    </row>
    <row r="234" spans="2:28" x14ac:dyDescent="0.3">
      <c r="G234" s="1" t="s">
        <v>31</v>
      </c>
      <c r="R234" s="25">
        <f t="shared" ca="1" si="121"/>
        <v>0</v>
      </c>
      <c r="U234" s="2">
        <f>U46+U158-U99</f>
        <v>0</v>
      </c>
      <c r="V234" s="2">
        <f t="shared" ref="V234:AB234" si="136">V46+V158-V99</f>
        <v>0</v>
      </c>
      <c r="W234" s="2">
        <f t="shared" si="136"/>
        <v>0</v>
      </c>
      <c r="X234" s="2">
        <f t="shared" si="136"/>
        <v>0</v>
      </c>
      <c r="Y234" s="2">
        <f t="shared" si="136"/>
        <v>0</v>
      </c>
      <c r="Z234" s="2">
        <f t="shared" si="136"/>
        <v>0</v>
      </c>
      <c r="AA234" s="2">
        <f t="shared" si="136"/>
        <v>0</v>
      </c>
      <c r="AB234" s="2">
        <f t="shared" si="136"/>
        <v>0</v>
      </c>
    </row>
    <row r="235" spans="2:28" x14ac:dyDescent="0.3">
      <c r="G235" s="1" t="s">
        <v>32</v>
      </c>
      <c r="R235" s="25">
        <f t="shared" ca="1" si="121"/>
        <v>0</v>
      </c>
      <c r="U235" s="2">
        <f t="shared" ref="U235:AB235" si="137">IF((U47-U25-U146+U87)&gt;=0,U47-U25-U146+U87,0)</f>
        <v>0</v>
      </c>
      <c r="V235" s="2">
        <f t="shared" si="137"/>
        <v>0</v>
      </c>
      <c r="W235" s="2">
        <f t="shared" si="137"/>
        <v>0</v>
      </c>
      <c r="X235" s="2">
        <f t="shared" si="137"/>
        <v>0</v>
      </c>
      <c r="Y235" s="2">
        <f t="shared" si="137"/>
        <v>0</v>
      </c>
      <c r="Z235" s="2">
        <f t="shared" si="137"/>
        <v>0</v>
      </c>
      <c r="AA235" s="2">
        <f t="shared" si="137"/>
        <v>0</v>
      </c>
      <c r="AB235" s="2">
        <f t="shared" si="137"/>
        <v>0</v>
      </c>
    </row>
    <row r="236" spans="2:28" x14ac:dyDescent="0.3">
      <c r="G236" s="1" t="s">
        <v>33</v>
      </c>
      <c r="R236" s="25">
        <f t="shared" ca="1" si="121"/>
        <v>0</v>
      </c>
      <c r="U236" s="2">
        <f>U48+U117-U125</f>
        <v>0</v>
      </c>
      <c r="V236" s="2">
        <f t="shared" ref="V236:AB236" si="138">V48+V117-V125</f>
        <v>0</v>
      </c>
      <c r="W236" s="2">
        <f t="shared" si="138"/>
        <v>0</v>
      </c>
      <c r="X236" s="2">
        <f t="shared" si="138"/>
        <v>0</v>
      </c>
      <c r="Y236" s="2">
        <f t="shared" si="138"/>
        <v>0</v>
      </c>
      <c r="Z236" s="2">
        <f t="shared" si="138"/>
        <v>0</v>
      </c>
      <c r="AA236" s="2">
        <f t="shared" si="138"/>
        <v>0</v>
      </c>
      <c r="AB236" s="2">
        <f t="shared" si="138"/>
        <v>0</v>
      </c>
    </row>
    <row r="237" spans="2:28" x14ac:dyDescent="0.3">
      <c r="G237" s="1" t="s">
        <v>34</v>
      </c>
      <c r="R237" s="25">
        <f t="shared" ca="1" si="121"/>
        <v>0</v>
      </c>
      <c r="U237" s="2">
        <f>U49+U180-U131</f>
        <v>0</v>
      </c>
      <c r="V237" s="2">
        <f t="shared" ref="V237:AB237" si="139">V49+V180-V131</f>
        <v>0</v>
      </c>
      <c r="W237" s="2">
        <f t="shared" si="139"/>
        <v>0</v>
      </c>
      <c r="X237" s="2">
        <f t="shared" si="139"/>
        <v>0</v>
      </c>
      <c r="Y237" s="2">
        <f t="shared" si="139"/>
        <v>0</v>
      </c>
      <c r="Z237" s="2">
        <f t="shared" si="139"/>
        <v>0</v>
      </c>
      <c r="AA237" s="2">
        <f t="shared" si="139"/>
        <v>0</v>
      </c>
      <c r="AB237" s="2">
        <f t="shared" si="139"/>
        <v>0</v>
      </c>
    </row>
    <row r="238" spans="2:28" x14ac:dyDescent="0.3">
      <c r="G238" s="1" t="s">
        <v>35</v>
      </c>
      <c r="R238" s="25">
        <f t="shared" ca="1" si="121"/>
        <v>0</v>
      </c>
      <c r="U238" s="2">
        <f>U50+U118-U126</f>
        <v>0</v>
      </c>
      <c r="V238" s="2">
        <f t="shared" ref="V238:AB238" si="140">V50+V118-V126</f>
        <v>0</v>
      </c>
      <c r="W238" s="2">
        <f t="shared" si="140"/>
        <v>0</v>
      </c>
      <c r="X238" s="2">
        <f t="shared" si="140"/>
        <v>0</v>
      </c>
      <c r="Y238" s="2">
        <f t="shared" si="140"/>
        <v>0</v>
      </c>
      <c r="Z238" s="2">
        <f t="shared" si="140"/>
        <v>0</v>
      </c>
      <c r="AA238" s="2">
        <f t="shared" si="140"/>
        <v>0</v>
      </c>
      <c r="AB238" s="2">
        <f t="shared" si="140"/>
        <v>0</v>
      </c>
    </row>
    <row r="239" spans="2:28" x14ac:dyDescent="0.3">
      <c r="G239" s="1" t="s">
        <v>36</v>
      </c>
      <c r="R239" s="25">
        <f t="shared" ca="1" si="121"/>
        <v>0</v>
      </c>
      <c r="U239" s="2">
        <f>U51+U181-U132</f>
        <v>0</v>
      </c>
      <c r="V239" s="2">
        <f t="shared" ref="V239:AB239" si="141">V51+V181-V132</f>
        <v>0</v>
      </c>
      <c r="W239" s="2">
        <f t="shared" si="141"/>
        <v>0</v>
      </c>
      <c r="X239" s="2">
        <f t="shared" si="141"/>
        <v>0</v>
      </c>
      <c r="Y239" s="2">
        <f t="shared" si="141"/>
        <v>0</v>
      </c>
      <c r="Z239" s="2">
        <f t="shared" si="141"/>
        <v>0</v>
      </c>
      <c r="AA239" s="2">
        <f t="shared" si="141"/>
        <v>0</v>
      </c>
      <c r="AB239" s="2">
        <f t="shared" si="141"/>
        <v>0</v>
      </c>
    </row>
    <row r="240" spans="2:28" x14ac:dyDescent="0.3">
      <c r="G240" s="1" t="s">
        <v>38</v>
      </c>
      <c r="R240" s="25">
        <f t="shared" ca="1" si="121"/>
        <v>0</v>
      </c>
      <c r="U240" s="2">
        <f>U52+U119-U127</f>
        <v>0</v>
      </c>
      <c r="V240" s="2">
        <f t="shared" ref="V240:AB240" si="142">V52+V119-V127</f>
        <v>0</v>
      </c>
      <c r="W240" s="2">
        <f t="shared" si="142"/>
        <v>0</v>
      </c>
      <c r="X240" s="2">
        <f t="shared" si="142"/>
        <v>0</v>
      </c>
      <c r="Y240" s="2">
        <f t="shared" si="142"/>
        <v>0</v>
      </c>
      <c r="Z240" s="2">
        <f t="shared" si="142"/>
        <v>0</v>
      </c>
      <c r="AA240" s="2">
        <f t="shared" si="142"/>
        <v>0</v>
      </c>
      <c r="AB240" s="2">
        <f t="shared" si="142"/>
        <v>0</v>
      </c>
    </row>
    <row r="241" spans="7:28" x14ac:dyDescent="0.3">
      <c r="G241" s="1" t="s">
        <v>37</v>
      </c>
      <c r="R241" s="25">
        <f t="shared" ca="1" si="121"/>
        <v>0</v>
      </c>
      <c r="U241" s="2">
        <f>U53+U182-U133</f>
        <v>0</v>
      </c>
      <c r="V241" s="2">
        <f t="shared" ref="V241:AB241" si="143">V53+V182-V133</f>
        <v>0</v>
      </c>
      <c r="W241" s="2">
        <f t="shared" si="143"/>
        <v>0</v>
      </c>
      <c r="X241" s="2">
        <f t="shared" si="143"/>
        <v>0</v>
      </c>
      <c r="Y241" s="2">
        <f t="shared" si="143"/>
        <v>0</v>
      </c>
      <c r="Z241" s="2">
        <f t="shared" si="143"/>
        <v>0</v>
      </c>
      <c r="AA241" s="2">
        <f t="shared" si="143"/>
        <v>0</v>
      </c>
      <c r="AB241" s="2">
        <f t="shared" si="143"/>
        <v>0</v>
      </c>
    </row>
    <row r="242" spans="7:28" x14ac:dyDescent="0.3">
      <c r="G242" s="1" t="s">
        <v>39</v>
      </c>
      <c r="R242" s="25">
        <f t="shared" ca="1" si="121"/>
        <v>321517.85714285716</v>
      </c>
      <c r="U242" s="2">
        <f>U54+U172+U184-U109-U134</f>
        <v>0</v>
      </c>
      <c r="V242" s="2">
        <f t="shared" ref="V242:AB242" ca="1" si="144">V54+V172+V184-V109-V134</f>
        <v>0</v>
      </c>
      <c r="W242" s="2">
        <f t="shared" ca="1" si="144"/>
        <v>2916.6666666666665</v>
      </c>
      <c r="X242" s="2">
        <f t="shared" ca="1" si="144"/>
        <v>50784.722222222219</v>
      </c>
      <c r="Y242" s="2">
        <f t="shared" ca="1" si="144"/>
        <v>103901.78571428571</v>
      </c>
      <c r="Z242" s="2">
        <f t="shared" ca="1" si="144"/>
        <v>156337.3015873016</v>
      </c>
      <c r="AA242" s="2">
        <f t="shared" ca="1" si="144"/>
        <v>216841.26984126985</v>
      </c>
      <c r="AB242" s="2">
        <f t="shared" ca="1" si="144"/>
        <v>321517.85714285716</v>
      </c>
    </row>
    <row r="243" spans="7:28" x14ac:dyDescent="0.3">
      <c r="G243" s="1" t="s">
        <v>40</v>
      </c>
      <c r="R243" s="25">
        <f t="shared" ca="1" si="121"/>
        <v>0</v>
      </c>
      <c r="U243" s="2">
        <f>U55</f>
        <v>0</v>
      </c>
      <c r="V243" s="2">
        <f t="shared" ref="V243:AB243" si="145">V55</f>
        <v>0</v>
      </c>
      <c r="W243" s="2">
        <f t="shared" si="145"/>
        <v>0</v>
      </c>
      <c r="X243" s="2">
        <f t="shared" si="145"/>
        <v>0</v>
      </c>
      <c r="Y243" s="2">
        <f t="shared" si="145"/>
        <v>0</v>
      </c>
      <c r="Z243" s="2">
        <f t="shared" si="145"/>
        <v>0</v>
      </c>
      <c r="AA243" s="2">
        <f t="shared" si="145"/>
        <v>0</v>
      </c>
      <c r="AB243" s="2">
        <f t="shared" si="145"/>
        <v>0</v>
      </c>
    </row>
    <row r="244" spans="7:28" ht="4.95" customHeight="1" x14ac:dyDescent="0.3"/>
  </sheetData>
  <conditionalFormatting sqref="G9:H547">
    <cfRule type="expression" dxfId="85" priority="4">
      <formula>H9&lt;&gt;""</formula>
    </cfRule>
  </conditionalFormatting>
  <conditionalFormatting sqref="R30:AB30">
    <cfRule type="cellIs" dxfId="84" priority="3" operator="notEqual">
      <formula>0</formula>
    </cfRule>
  </conditionalFormatting>
  <conditionalFormatting sqref="A1:XFD1048576">
    <cfRule type="cellIs" dxfId="83" priority="2" operator="equal">
      <formula>0</formula>
    </cfRule>
  </conditionalFormatting>
  <conditionalFormatting sqref="R218:AB218">
    <cfRule type="cellIs" dxfId="82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F73"/>
  <sheetViews>
    <sheetView showGridLines="0" workbookViewId="0">
      <pane xSplit="19" ySplit="5" topLeftCell="T6" activePane="bottomRight" state="frozen"/>
      <selection pane="topRight" activeCell="T1" sqref="T1"/>
      <selection pane="bottomLeft" activeCell="A6" sqref="A6"/>
      <selection pane="bottomRight" activeCell="W28" sqref="W28"/>
    </sheetView>
  </sheetViews>
  <sheetFormatPr defaultRowHeight="13.8" x14ac:dyDescent="0.3"/>
  <cols>
    <col min="1" max="1" width="1.77734375" style="11" customWidth="1"/>
    <col min="2" max="2" width="1.77734375" style="10" customWidth="1"/>
    <col min="3" max="8" width="1.77734375" style="1" customWidth="1"/>
    <col min="9" max="15" width="8.88671875" style="1"/>
    <col min="16" max="17" width="1.77734375" style="1" customWidth="1"/>
    <col min="18" max="18" width="13.6640625" style="3" customWidth="1"/>
    <col min="19" max="20" width="1.77734375" style="1" customWidth="1"/>
    <col min="21" max="28" width="11.6640625" style="2" customWidth="1"/>
    <col min="29" max="16384" width="8.88671875" style="1"/>
  </cols>
  <sheetData>
    <row r="1" spans="1:32" s="11" customFormat="1" ht="10.199999999999999" x14ac:dyDescent="0.2">
      <c r="B1" s="10"/>
      <c r="R1" s="15"/>
      <c r="U1" s="12">
        <f>COLUMN()</f>
        <v>21</v>
      </c>
      <c r="V1" s="12">
        <f>COLUMN()</f>
        <v>22</v>
      </c>
      <c r="W1" s="12">
        <f>COLUMN()</f>
        <v>23</v>
      </c>
      <c r="X1" s="12">
        <f>COLUMN()</f>
        <v>24</v>
      </c>
      <c r="Y1" s="12">
        <f>COLUMN()</f>
        <v>25</v>
      </c>
      <c r="Z1" s="12">
        <f>COLUMN()</f>
        <v>26</v>
      </c>
      <c r="AA1" s="12">
        <f>COLUMN()</f>
        <v>27</v>
      </c>
      <c r="AB1" s="12">
        <f>COLUMN()</f>
        <v>28</v>
      </c>
    </row>
    <row r="2" spans="1:32" s="7" customFormat="1" x14ac:dyDescent="0.3">
      <c r="A2" s="35"/>
      <c r="B2" s="24"/>
      <c r="E2" s="7" t="s">
        <v>149</v>
      </c>
      <c r="R2" s="3"/>
      <c r="U2" s="3"/>
      <c r="V2" s="3"/>
      <c r="W2" s="3"/>
      <c r="X2" s="3"/>
      <c r="Y2" s="3"/>
      <c r="Z2" s="3"/>
      <c r="AA2" s="3"/>
      <c r="AB2" s="3"/>
    </row>
    <row r="3" spans="1:32" s="4" customFormat="1" ht="12" x14ac:dyDescent="0.25">
      <c r="A3" s="11"/>
      <c r="B3" s="10"/>
      <c r="R3" s="16" t="str">
        <f>Rep!R3</f>
        <v>итого</v>
      </c>
      <c r="U3" s="8">
        <f>Rep!U3</f>
        <v>1</v>
      </c>
      <c r="V3" s="8">
        <f>Rep!V3</f>
        <v>2</v>
      </c>
      <c r="W3" s="8">
        <f>Rep!W3</f>
        <v>3</v>
      </c>
      <c r="X3" s="8">
        <f>Rep!X3</f>
        <v>4</v>
      </c>
      <c r="Y3" s="8">
        <f>Rep!Y3</f>
        <v>5</v>
      </c>
      <c r="Z3" s="8">
        <f>Rep!Z3</f>
        <v>6</v>
      </c>
      <c r="AA3" s="8">
        <f>Rep!AA3</f>
        <v>7</v>
      </c>
      <c r="AB3" s="8">
        <f>Rep!AB3</f>
        <v>8</v>
      </c>
    </row>
    <row r="4" spans="1:32" s="4" customFormat="1" ht="12" x14ac:dyDescent="0.25">
      <c r="A4" s="11"/>
      <c r="B4" s="10"/>
      <c r="R4" s="27">
        <f>Rep!R4</f>
        <v>45658</v>
      </c>
      <c r="S4" s="5"/>
      <c r="T4" s="5"/>
      <c r="U4" s="6">
        <f>Rep!U4</f>
        <v>45658</v>
      </c>
      <c r="V4" s="6">
        <f>Rep!V4</f>
        <v>45689</v>
      </c>
      <c r="W4" s="6">
        <f>Rep!W4</f>
        <v>45717</v>
      </c>
      <c r="X4" s="6">
        <f>Rep!X4</f>
        <v>45748</v>
      </c>
      <c r="Y4" s="6">
        <f>Rep!Y4</f>
        <v>45778</v>
      </c>
      <c r="Z4" s="6">
        <f>Rep!Z4</f>
        <v>45809</v>
      </c>
      <c r="AA4" s="6">
        <f>Rep!AA4</f>
        <v>45839</v>
      </c>
      <c r="AB4" s="6">
        <f>Rep!AB4</f>
        <v>45870</v>
      </c>
      <c r="AC4" s="5"/>
      <c r="AD4" s="5"/>
      <c r="AE4" s="5"/>
      <c r="AF4" s="5"/>
    </row>
    <row r="5" spans="1:32" s="4" customFormat="1" ht="12" x14ac:dyDescent="0.25">
      <c r="A5" s="11"/>
      <c r="B5" s="10"/>
      <c r="F5" s="9" t="s">
        <v>5</v>
      </c>
      <c r="M5" s="4" t="s">
        <v>156</v>
      </c>
      <c r="N5" s="4" t="s">
        <v>157</v>
      </c>
      <c r="R5" s="18">
        <f ca="1">Rep!R5</f>
        <v>45900</v>
      </c>
      <c r="S5" s="5"/>
      <c r="T5" s="5"/>
      <c r="U5" s="6">
        <f>Rep!U5</f>
        <v>45688</v>
      </c>
      <c r="V5" s="6">
        <f>Rep!V5</f>
        <v>45716</v>
      </c>
      <c r="W5" s="6">
        <f>Rep!W5</f>
        <v>45747</v>
      </c>
      <c r="X5" s="6">
        <f>Rep!X5</f>
        <v>45777</v>
      </c>
      <c r="Y5" s="6">
        <f>Rep!Y5</f>
        <v>45808</v>
      </c>
      <c r="Z5" s="6">
        <f>Rep!Z5</f>
        <v>45838</v>
      </c>
      <c r="AA5" s="6">
        <f>Rep!AA5</f>
        <v>45869</v>
      </c>
      <c r="AB5" s="6">
        <f>Rep!AB5</f>
        <v>45900</v>
      </c>
      <c r="AC5" s="5"/>
      <c r="AD5" s="5"/>
      <c r="AE5" s="5"/>
      <c r="AF5" s="5"/>
    </row>
    <row r="6" spans="1:32" x14ac:dyDescent="0.3">
      <c r="A6" s="11">
        <f>ROW()</f>
        <v>6</v>
      </c>
    </row>
    <row r="7" spans="1:32" ht="4.95" customHeight="1" x14ac:dyDescent="0.3">
      <c r="A7" s="11">
        <f>ROW()</f>
        <v>7</v>
      </c>
    </row>
    <row r="8" spans="1:32" x14ac:dyDescent="0.3">
      <c r="A8" s="11">
        <f>ROW()</f>
        <v>8</v>
      </c>
      <c r="F8" s="1" t="s">
        <v>150</v>
      </c>
      <c r="R8" s="3">
        <f ca="1">SUM($T8:INDIRECT(ADDRESS(ROW(),SUMIFS($1:$1,$3:$3,MAX($3:$3)))))</f>
        <v>2</v>
      </c>
      <c r="U8" s="26">
        <v>1</v>
      </c>
      <c r="V8" s="26"/>
      <c r="W8" s="26"/>
      <c r="X8" s="26"/>
      <c r="Y8" s="26">
        <v>1</v>
      </c>
      <c r="Z8" s="26"/>
      <c r="AA8" s="26"/>
      <c r="AB8" s="26"/>
    </row>
    <row r="9" spans="1:32" x14ac:dyDescent="0.3">
      <c r="A9" s="11">
        <f>ROW()</f>
        <v>9</v>
      </c>
    </row>
    <row r="10" spans="1:32" x14ac:dyDescent="0.3">
      <c r="A10" s="11">
        <f>ROW()</f>
        <v>10</v>
      </c>
      <c r="F10" s="1" t="s">
        <v>151</v>
      </c>
      <c r="R10" s="3">
        <f ca="1">SUM($T10:INDIRECT(ADDRESS(ROW(),SUMIFS($1:$1,$3:$3,MAX($3:$3)))))</f>
        <v>11</v>
      </c>
      <c r="U10" s="26">
        <v>1</v>
      </c>
      <c r="V10" s="26"/>
      <c r="W10" s="26">
        <v>2</v>
      </c>
      <c r="X10" s="26"/>
      <c r="Y10" s="26">
        <v>3</v>
      </c>
      <c r="Z10" s="26"/>
      <c r="AA10" s="26">
        <v>5</v>
      </c>
      <c r="AB10" s="26"/>
    </row>
    <row r="11" spans="1:32" x14ac:dyDescent="0.3">
      <c r="A11" s="11">
        <f>ROW()</f>
        <v>11</v>
      </c>
    </row>
    <row r="12" spans="1:32" x14ac:dyDescent="0.3">
      <c r="A12" s="11">
        <f>ROW()</f>
        <v>12</v>
      </c>
      <c r="F12" s="1" t="s">
        <v>152</v>
      </c>
      <c r="R12" s="3">
        <f ca="1">SUM($T12:INDIRECT(ADDRESS(ROW(),SUMIFS($1:$1,$3:$3,MAX($3:$3)))))</f>
        <v>1</v>
      </c>
      <c r="U12" s="26">
        <v>0</v>
      </c>
      <c r="V12" s="26"/>
      <c r="W12" s="26"/>
      <c r="X12" s="26">
        <v>1</v>
      </c>
      <c r="Y12" s="26"/>
      <c r="Z12" s="26"/>
      <c r="AA12" s="26"/>
      <c r="AB12" s="26"/>
    </row>
    <row r="13" spans="1:32" x14ac:dyDescent="0.3">
      <c r="A13" s="11">
        <f>ROW()</f>
        <v>13</v>
      </c>
    </row>
    <row r="14" spans="1:32" x14ac:dyDescent="0.3">
      <c r="A14" s="11">
        <f>ROW()</f>
        <v>14</v>
      </c>
      <c r="F14" s="1" t="s">
        <v>153</v>
      </c>
      <c r="R14" s="3">
        <f ca="1">SUM($T14:INDIRECT(ADDRESS(ROW(),SUMIFS($1:$1,$3:$3,MAX($3:$3)))))</f>
        <v>36000000</v>
      </c>
      <c r="U14" s="26">
        <v>20000000</v>
      </c>
      <c r="V14" s="26">
        <v>15000000</v>
      </c>
      <c r="W14" s="26">
        <v>1000000</v>
      </c>
      <c r="X14" s="26"/>
      <c r="Y14" s="26"/>
      <c r="Z14" s="26"/>
      <c r="AA14" s="26"/>
      <c r="AB14" s="26"/>
    </row>
    <row r="15" spans="1:32" ht="7.95" customHeight="1" x14ac:dyDescent="0.3">
      <c r="A15" s="11">
        <f>ROW()</f>
        <v>15</v>
      </c>
      <c r="U15" s="28">
        <f>SUMIFS(14:14,$3:$3,MAX($3:$3)-U$3+1)</f>
        <v>0</v>
      </c>
      <c r="V15" s="28">
        <f t="shared" ref="V15:AB15" si="0">SUMIFS(14:14,$3:$3,MAX($3:$3)-V$3+1)</f>
        <v>0</v>
      </c>
      <c r="W15" s="28">
        <f t="shared" si="0"/>
        <v>0</v>
      </c>
      <c r="X15" s="28">
        <f t="shared" si="0"/>
        <v>0</v>
      </c>
      <c r="Y15" s="28">
        <f t="shared" si="0"/>
        <v>0</v>
      </c>
      <c r="Z15" s="28">
        <f t="shared" si="0"/>
        <v>1000000</v>
      </c>
      <c r="AA15" s="28">
        <f t="shared" si="0"/>
        <v>15000000</v>
      </c>
      <c r="AB15" s="28">
        <f t="shared" si="0"/>
        <v>20000000</v>
      </c>
    </row>
    <row r="16" spans="1:32" x14ac:dyDescent="0.3">
      <c r="A16" s="11">
        <f>ROW()</f>
        <v>16</v>
      </c>
      <c r="G16" s="1" t="str">
        <f>Rep!$G$67</f>
        <v>Капзатраты</v>
      </c>
    </row>
    <row r="17" spans="1:28" x14ac:dyDescent="0.3">
      <c r="A17" s="11">
        <f>ROW()</f>
        <v>17</v>
      </c>
      <c r="G17" s="29" t="str">
        <f>G16</f>
        <v>Капзатраты</v>
      </c>
      <c r="H17" s="1" t="str">
        <f>Lists!$H$8</f>
        <v>Производственные цеха</v>
      </c>
      <c r="M17" s="26">
        <f>$A$8</f>
        <v>8</v>
      </c>
      <c r="N17" s="26">
        <f>A14</f>
        <v>14</v>
      </c>
      <c r="R17" s="3">
        <f ca="1">SUM($T17:INDIRECT(ADDRESS(ROW(),SUMIFS($1:$1,$3:$3,MAX($3:$3)))))</f>
        <v>72000000</v>
      </c>
      <c r="U17" s="2">
        <f t="shared" ref="U17:V17" ca="1" si="1">SUMPRODUCT(INDIRECT(ADDRESS($M17,$U$1)&amp;":"&amp;ADDRESS($M17,U$1)),INDIRECT(ADDRESS($N17+1,MAX($1:$1)-U$3+1)&amp;":"&amp;ADDRESS($N17+1,MAX($1:$1))))</f>
        <v>20000000</v>
      </c>
      <c r="V17" s="2">
        <f t="shared" ca="1" si="1"/>
        <v>15000000</v>
      </c>
      <c r="W17" s="2">
        <f ca="1">SUMPRODUCT(INDIRECT(ADDRESS($M17,$U$1)&amp;":"&amp;ADDRESS($M17,W$1)),INDIRECT(ADDRESS($N17+1,MAX($1:$1)-W$3+1)&amp;":"&amp;ADDRESS($N17+1,MAX($1:$1))))</f>
        <v>1000000</v>
      </c>
      <c r="X17" s="2">
        <f t="shared" ref="X17:AB17" ca="1" si="2">SUMPRODUCT(INDIRECT(ADDRESS($M17,$U$1)&amp;":"&amp;ADDRESS($M17,X$1)),INDIRECT(ADDRESS($N17+1,MAX($1:$1)-X$3+1)&amp;":"&amp;ADDRESS($N17+1,MAX($1:$1))))</f>
        <v>0</v>
      </c>
      <c r="Y17" s="2">
        <f t="shared" ca="1" si="2"/>
        <v>20000000</v>
      </c>
      <c r="Z17" s="2">
        <f t="shared" ca="1" si="2"/>
        <v>15000000</v>
      </c>
      <c r="AA17" s="2">
        <f t="shared" ca="1" si="2"/>
        <v>1000000</v>
      </c>
      <c r="AB17" s="2">
        <f t="shared" ca="1" si="2"/>
        <v>0</v>
      </c>
    </row>
    <row r="18" spans="1:28" x14ac:dyDescent="0.3">
      <c r="A18" s="11">
        <f>ROW()</f>
        <v>18</v>
      </c>
    </row>
    <row r="19" spans="1:28" x14ac:dyDescent="0.3">
      <c r="A19" s="11">
        <f>ROW()</f>
        <v>19</v>
      </c>
      <c r="F19" s="1" t="s">
        <v>158</v>
      </c>
      <c r="R19" s="3">
        <f ca="1">SUM($T19:INDIRECT(ADDRESS(ROW(),SUMIFS($1:$1,$3:$3,MAX($3:$3)))))</f>
        <v>3500000</v>
      </c>
      <c r="U19" s="26">
        <v>3000000</v>
      </c>
      <c r="V19" s="26">
        <v>500000</v>
      </c>
      <c r="W19" s="26"/>
      <c r="X19" s="26"/>
      <c r="Y19" s="26"/>
      <c r="Z19" s="26"/>
      <c r="AA19" s="26"/>
      <c r="AB19" s="26"/>
    </row>
    <row r="20" spans="1:28" ht="7.95" customHeight="1" x14ac:dyDescent="0.3">
      <c r="A20" s="11">
        <f>ROW()</f>
        <v>20</v>
      </c>
      <c r="U20" s="28">
        <f>SUMIFS(19:19,$3:$3,MAX($3:$3)-U$3+1)</f>
        <v>0</v>
      </c>
      <c r="V20" s="28">
        <f t="shared" ref="V20" si="3">SUMIFS(19:19,$3:$3,MAX($3:$3)-V$3+1)</f>
        <v>0</v>
      </c>
      <c r="W20" s="28">
        <f t="shared" ref="W20" si="4">SUMIFS(19:19,$3:$3,MAX($3:$3)-W$3+1)</f>
        <v>0</v>
      </c>
      <c r="X20" s="28">
        <f t="shared" ref="X20" si="5">SUMIFS(19:19,$3:$3,MAX($3:$3)-X$3+1)</f>
        <v>0</v>
      </c>
      <c r="Y20" s="28">
        <f t="shared" ref="Y20" si="6">SUMIFS(19:19,$3:$3,MAX($3:$3)-Y$3+1)</f>
        <v>0</v>
      </c>
      <c r="Z20" s="28">
        <f t="shared" ref="Z20" si="7">SUMIFS(19:19,$3:$3,MAX($3:$3)-Z$3+1)</f>
        <v>0</v>
      </c>
      <c r="AA20" s="28">
        <f t="shared" ref="AA20" si="8">SUMIFS(19:19,$3:$3,MAX($3:$3)-AA$3+1)</f>
        <v>500000</v>
      </c>
      <c r="AB20" s="28">
        <f t="shared" ref="AB20" si="9">SUMIFS(19:19,$3:$3,MAX($3:$3)-AB$3+1)</f>
        <v>3000000</v>
      </c>
    </row>
    <row r="21" spans="1:28" x14ac:dyDescent="0.3">
      <c r="A21" s="11">
        <f>ROW()</f>
        <v>21</v>
      </c>
      <c r="G21" s="1" t="str">
        <f>Rep!$G$67</f>
        <v>Капзатраты</v>
      </c>
    </row>
    <row r="22" spans="1:28" x14ac:dyDescent="0.3">
      <c r="A22" s="11">
        <f>ROW()</f>
        <v>22</v>
      </c>
      <c r="G22" s="29" t="str">
        <f>G21</f>
        <v>Капзатраты</v>
      </c>
      <c r="H22" s="1" t="str">
        <f>Lists!$H$9</f>
        <v>Торговые точки</v>
      </c>
      <c r="M22" s="26">
        <f>$A$10</f>
        <v>10</v>
      </c>
      <c r="N22" s="26">
        <f>A19</f>
        <v>19</v>
      </c>
      <c r="R22" s="3">
        <f ca="1">SUM($T22:INDIRECT(ADDRESS(ROW(),SUMIFS($1:$1,$3:$3,MAX($3:$3)))))</f>
        <v>38500000</v>
      </c>
      <c r="U22" s="2">
        <f t="shared" ref="U22:V22" ca="1" si="10">SUMPRODUCT(INDIRECT(ADDRESS($M22,$U$1)&amp;":"&amp;ADDRESS($M22,U$1)),INDIRECT(ADDRESS($N22+1,MAX($1:$1)-U$3+1)&amp;":"&amp;ADDRESS($N22+1,MAX($1:$1))))</f>
        <v>3000000</v>
      </c>
      <c r="V22" s="2">
        <f t="shared" ca="1" si="10"/>
        <v>500000</v>
      </c>
      <c r="W22" s="2">
        <f ca="1">SUMPRODUCT(INDIRECT(ADDRESS($M22,$U$1)&amp;":"&amp;ADDRESS($M22,W$1)),INDIRECT(ADDRESS($N22+1,MAX($1:$1)-W$3+1)&amp;":"&amp;ADDRESS($N22+1,MAX($1:$1))))</f>
        <v>6000000</v>
      </c>
      <c r="X22" s="2">
        <f t="shared" ref="X22:AB22" ca="1" si="11">SUMPRODUCT(INDIRECT(ADDRESS($M22,$U$1)&amp;":"&amp;ADDRESS($M22,X$1)),INDIRECT(ADDRESS($N22+1,MAX($1:$1)-X$3+1)&amp;":"&amp;ADDRESS($N22+1,MAX($1:$1))))</f>
        <v>1000000</v>
      </c>
      <c r="Y22" s="2">
        <f t="shared" ca="1" si="11"/>
        <v>9000000</v>
      </c>
      <c r="Z22" s="2">
        <f t="shared" ca="1" si="11"/>
        <v>1500000</v>
      </c>
      <c r="AA22" s="2">
        <f t="shared" ca="1" si="11"/>
        <v>15000000</v>
      </c>
      <c r="AB22" s="2">
        <f t="shared" ca="1" si="11"/>
        <v>2500000</v>
      </c>
    </row>
    <row r="23" spans="1:28" x14ac:dyDescent="0.3">
      <c r="A23" s="11">
        <f>ROW()</f>
        <v>23</v>
      </c>
    </row>
    <row r="24" spans="1:28" x14ac:dyDescent="0.3">
      <c r="A24" s="11">
        <f>ROW()</f>
        <v>24</v>
      </c>
      <c r="F24" s="1" t="s">
        <v>159</v>
      </c>
      <c r="R24" s="3">
        <f ca="1">SUM($T24:INDIRECT(ADDRESS(ROW(),SUMIFS($1:$1,$3:$3,MAX($3:$3)))))</f>
        <v>1000000</v>
      </c>
      <c r="U24" s="26">
        <v>700000</v>
      </c>
      <c r="V24" s="26">
        <v>300000</v>
      </c>
      <c r="W24" s="26"/>
      <c r="X24" s="26"/>
      <c r="Y24" s="26"/>
      <c r="Z24" s="26"/>
      <c r="AA24" s="26"/>
      <c r="AB24" s="26"/>
    </row>
    <row r="25" spans="1:28" ht="7.95" customHeight="1" x14ac:dyDescent="0.3">
      <c r="A25" s="11">
        <f>ROW()</f>
        <v>25</v>
      </c>
      <c r="U25" s="28">
        <f>SUMIFS(24:24,$3:$3,MAX($3:$3)-U$3+1)</f>
        <v>0</v>
      </c>
      <c r="V25" s="28">
        <f t="shared" ref="V25" si="12">SUMIFS(24:24,$3:$3,MAX($3:$3)-V$3+1)</f>
        <v>0</v>
      </c>
      <c r="W25" s="28">
        <f t="shared" ref="W25" si="13">SUMIFS(24:24,$3:$3,MAX($3:$3)-W$3+1)</f>
        <v>0</v>
      </c>
      <c r="X25" s="28">
        <f t="shared" ref="X25" si="14">SUMIFS(24:24,$3:$3,MAX($3:$3)-X$3+1)</f>
        <v>0</v>
      </c>
      <c r="Y25" s="28">
        <f t="shared" ref="Y25" si="15">SUMIFS(24:24,$3:$3,MAX($3:$3)-Y$3+1)</f>
        <v>0</v>
      </c>
      <c r="Z25" s="28">
        <f t="shared" ref="Z25" si="16">SUMIFS(24:24,$3:$3,MAX($3:$3)-Z$3+1)</f>
        <v>0</v>
      </c>
      <c r="AA25" s="28">
        <f t="shared" ref="AA25" si="17">SUMIFS(24:24,$3:$3,MAX($3:$3)-AA$3+1)</f>
        <v>300000</v>
      </c>
      <c r="AB25" s="28">
        <f t="shared" ref="AB25" si="18">SUMIFS(24:24,$3:$3,MAX($3:$3)-AB$3+1)</f>
        <v>700000</v>
      </c>
    </row>
    <row r="26" spans="1:28" x14ac:dyDescent="0.3">
      <c r="A26" s="11">
        <f>ROW()</f>
        <v>26</v>
      </c>
      <c r="G26" s="1" t="str">
        <f>Rep!$G$67</f>
        <v>Капзатраты</v>
      </c>
    </row>
    <row r="27" spans="1:28" x14ac:dyDescent="0.3">
      <c r="A27" s="11">
        <f>ROW()</f>
        <v>27</v>
      </c>
      <c r="G27" s="29" t="str">
        <f>G26</f>
        <v>Капзатраты</v>
      </c>
      <c r="H27" s="1" t="str">
        <f>Lists!$H$10</f>
        <v>Инфраструктура для e-Comm</v>
      </c>
      <c r="M27" s="26">
        <f>$A$12</f>
        <v>12</v>
      </c>
      <c r="N27" s="26">
        <f>A24</f>
        <v>24</v>
      </c>
      <c r="R27" s="3">
        <f ca="1">SUM($T27:INDIRECT(ADDRESS(ROW(),SUMIFS($1:$1,$3:$3,MAX($3:$3)))))</f>
        <v>1000000</v>
      </c>
      <c r="U27" s="2">
        <f ca="1">SUMPRODUCT(INDIRECT(ADDRESS($M27,$U$1)&amp;":"&amp;ADDRESS($M27,U$1)),INDIRECT(ADDRESS($N27+1,MAX($1:$1)-U$3+1)&amp;":"&amp;ADDRESS($N27+1,MAX($1:$1))))</f>
        <v>0</v>
      </c>
      <c r="V27" s="2">
        <f t="shared" ref="U27:V27" ca="1" si="19">SUMPRODUCT(INDIRECT(ADDRESS($M27,$U$1)&amp;":"&amp;ADDRESS($M27,V$1)),INDIRECT(ADDRESS($N27+1,MAX($1:$1)-V$3+1)&amp;":"&amp;ADDRESS($N27+1,MAX($1:$1))))</f>
        <v>0</v>
      </c>
      <c r="W27" s="2">
        <f ca="1">SUMPRODUCT(INDIRECT(ADDRESS($M27,$U$1)&amp;":"&amp;ADDRESS($M27,W$1)),INDIRECT(ADDRESS($N27+1,MAX($1:$1)-W$3+1)&amp;":"&amp;ADDRESS($N27+1,MAX($1:$1))))</f>
        <v>0</v>
      </c>
      <c r="X27" s="2">
        <f t="shared" ref="X27:AB27" ca="1" si="20">SUMPRODUCT(INDIRECT(ADDRESS($M27,$U$1)&amp;":"&amp;ADDRESS($M27,X$1)),INDIRECT(ADDRESS($N27+1,MAX($1:$1)-X$3+1)&amp;":"&amp;ADDRESS($N27+1,MAX($1:$1))))</f>
        <v>700000</v>
      </c>
      <c r="Y27" s="2">
        <f t="shared" ca="1" si="20"/>
        <v>300000</v>
      </c>
      <c r="Z27" s="2">
        <f t="shared" ca="1" si="20"/>
        <v>0</v>
      </c>
      <c r="AA27" s="2">
        <f t="shared" ca="1" si="20"/>
        <v>0</v>
      </c>
      <c r="AB27" s="2">
        <f t="shared" ca="1" si="20"/>
        <v>0</v>
      </c>
    </row>
    <row r="28" spans="1:28" x14ac:dyDescent="0.3">
      <c r="A28" s="11">
        <f>ROW()</f>
        <v>28</v>
      </c>
    </row>
    <row r="29" spans="1:28" x14ac:dyDescent="0.3">
      <c r="A29" s="11">
        <f>ROW()</f>
        <v>29</v>
      </c>
      <c r="F29" s="1" t="s">
        <v>160</v>
      </c>
      <c r="R29" s="3">
        <f ca="1">SUM($T29:INDIRECT(ADDRESS(ROW(),SUMIFS($1:$1,$3:$3,MAX($3:$3)))))</f>
        <v>36000000</v>
      </c>
      <c r="U29" s="26"/>
      <c r="V29" s="26"/>
      <c r="W29" s="26">
        <f ca="1">R14</f>
        <v>36000000</v>
      </c>
      <c r="X29" s="26"/>
      <c r="Y29" s="26"/>
      <c r="Z29" s="26"/>
      <c r="AA29" s="26"/>
      <c r="AB29" s="26"/>
    </row>
    <row r="30" spans="1:28" ht="7.95" customHeight="1" x14ac:dyDescent="0.3">
      <c r="A30" s="11">
        <f>ROW()</f>
        <v>30</v>
      </c>
      <c r="U30" s="28">
        <f>SUMIFS(29:29,$3:$3,MAX($3:$3)-U$3+1)</f>
        <v>0</v>
      </c>
      <c r="V30" s="28">
        <f t="shared" ref="V30" si="21">SUMIFS(29:29,$3:$3,MAX($3:$3)-V$3+1)</f>
        <v>0</v>
      </c>
      <c r="W30" s="28">
        <f t="shared" ref="W30" si="22">SUMIFS(29:29,$3:$3,MAX($3:$3)-W$3+1)</f>
        <v>0</v>
      </c>
      <c r="X30" s="28">
        <f t="shared" ref="X30" si="23">SUMIFS(29:29,$3:$3,MAX($3:$3)-X$3+1)</f>
        <v>0</v>
      </c>
      <c r="Y30" s="28">
        <f t="shared" ref="Y30" si="24">SUMIFS(29:29,$3:$3,MAX($3:$3)-Y$3+1)</f>
        <v>0</v>
      </c>
      <c r="Z30" s="28">
        <f t="shared" ref="Z30" ca="1" si="25">SUMIFS(29:29,$3:$3,MAX($3:$3)-Z$3+1)</f>
        <v>36000000</v>
      </c>
      <c r="AA30" s="28">
        <f t="shared" ref="AA30" si="26">SUMIFS(29:29,$3:$3,MAX($3:$3)-AA$3+1)</f>
        <v>0</v>
      </c>
      <c r="AB30" s="28">
        <f t="shared" ref="AB30" si="27">SUMIFS(29:29,$3:$3,MAX($3:$3)-AB$3+1)</f>
        <v>0</v>
      </c>
    </row>
    <row r="31" spans="1:28" x14ac:dyDescent="0.3">
      <c r="A31" s="11">
        <f>ROW()</f>
        <v>31</v>
      </c>
      <c r="G31" s="1" t="str">
        <f>Rep!$G$71</f>
        <v>Ввод в эксплуатацию ОС</v>
      </c>
    </row>
    <row r="32" spans="1:28" x14ac:dyDescent="0.3">
      <c r="A32" s="11">
        <f>ROW()</f>
        <v>32</v>
      </c>
      <c r="G32" s="29" t="str">
        <f>G31</f>
        <v>Ввод в эксплуатацию ОС</v>
      </c>
      <c r="H32" s="1" t="str">
        <f>Lists!$H$8</f>
        <v>Производственные цеха</v>
      </c>
      <c r="M32" s="26">
        <f>$A$8</f>
        <v>8</v>
      </c>
      <c r="N32" s="26">
        <f>A29</f>
        <v>29</v>
      </c>
      <c r="R32" s="3">
        <f ca="1">SUM($T32:INDIRECT(ADDRESS(ROW(),SUMIFS($1:$1,$3:$3,MAX($3:$3)))))</f>
        <v>72000000</v>
      </c>
      <c r="U32" s="2">
        <f t="shared" ref="U32:V32" ca="1" si="28">SUMPRODUCT(INDIRECT(ADDRESS($M32,$U$1)&amp;":"&amp;ADDRESS($M32,U$1)),INDIRECT(ADDRESS($N32+1,MAX($1:$1)-U$3+1)&amp;":"&amp;ADDRESS($N32+1,MAX($1:$1))))</f>
        <v>0</v>
      </c>
      <c r="V32" s="2">
        <f t="shared" ca="1" si="28"/>
        <v>0</v>
      </c>
      <c r="W32" s="2">
        <f ca="1">SUMPRODUCT(INDIRECT(ADDRESS($M32,$U$1)&amp;":"&amp;ADDRESS($M32,W$1)),INDIRECT(ADDRESS($N32+1,MAX($1:$1)-W$3+1)&amp;":"&amp;ADDRESS($N32+1,MAX($1:$1))))</f>
        <v>36000000</v>
      </c>
      <c r="X32" s="2">
        <f t="shared" ref="X32:AB32" ca="1" si="29">SUMPRODUCT(INDIRECT(ADDRESS($M32,$U$1)&amp;":"&amp;ADDRESS($M32,X$1)),INDIRECT(ADDRESS($N32+1,MAX($1:$1)-X$3+1)&amp;":"&amp;ADDRESS($N32+1,MAX($1:$1))))</f>
        <v>0</v>
      </c>
      <c r="Y32" s="2">
        <f t="shared" ca="1" si="29"/>
        <v>0</v>
      </c>
      <c r="Z32" s="2">
        <f t="shared" ca="1" si="29"/>
        <v>0</v>
      </c>
      <c r="AA32" s="2">
        <f t="shared" ca="1" si="29"/>
        <v>36000000</v>
      </c>
      <c r="AB32" s="2">
        <f t="shared" ca="1" si="29"/>
        <v>0</v>
      </c>
    </row>
    <row r="33" spans="1:28" x14ac:dyDescent="0.3">
      <c r="A33" s="11">
        <f>ROW()</f>
        <v>33</v>
      </c>
    </row>
    <row r="34" spans="1:28" x14ac:dyDescent="0.3">
      <c r="A34" s="11">
        <f>ROW()</f>
        <v>34</v>
      </c>
      <c r="F34" s="1" t="s">
        <v>161</v>
      </c>
      <c r="R34" s="3">
        <f ca="1">SUM($T34:INDIRECT(ADDRESS(ROW(),SUMIFS($1:$1,$3:$3,MAX($3:$3)))))</f>
        <v>3500000</v>
      </c>
      <c r="U34" s="26"/>
      <c r="V34" s="26">
        <f ca="1">R19</f>
        <v>3500000</v>
      </c>
      <c r="W34" s="26"/>
      <c r="X34" s="26"/>
      <c r="Y34" s="26"/>
      <c r="Z34" s="26"/>
      <c r="AA34" s="26"/>
      <c r="AB34" s="26"/>
    </row>
    <row r="35" spans="1:28" ht="7.95" customHeight="1" x14ac:dyDescent="0.3">
      <c r="A35" s="11">
        <f>ROW()</f>
        <v>35</v>
      </c>
      <c r="U35" s="28">
        <f>SUMIFS(34:34,$3:$3,MAX($3:$3)-U$3+1)</f>
        <v>0</v>
      </c>
      <c r="V35" s="28">
        <f t="shared" ref="V35" si="30">SUMIFS(34:34,$3:$3,MAX($3:$3)-V$3+1)</f>
        <v>0</v>
      </c>
      <c r="W35" s="28">
        <f t="shared" ref="W35" si="31">SUMIFS(34:34,$3:$3,MAX($3:$3)-W$3+1)</f>
        <v>0</v>
      </c>
      <c r="X35" s="28">
        <f t="shared" ref="X35" si="32">SUMIFS(34:34,$3:$3,MAX($3:$3)-X$3+1)</f>
        <v>0</v>
      </c>
      <c r="Y35" s="28">
        <f t="shared" ref="Y35" si="33">SUMIFS(34:34,$3:$3,MAX($3:$3)-Y$3+1)</f>
        <v>0</v>
      </c>
      <c r="Z35" s="28">
        <f t="shared" ref="Z35" si="34">SUMIFS(34:34,$3:$3,MAX($3:$3)-Z$3+1)</f>
        <v>0</v>
      </c>
      <c r="AA35" s="28">
        <f t="shared" ref="AA35" ca="1" si="35">SUMIFS(34:34,$3:$3,MAX($3:$3)-AA$3+1)</f>
        <v>3500000</v>
      </c>
      <c r="AB35" s="28">
        <f t="shared" ref="AB35" si="36">SUMIFS(34:34,$3:$3,MAX($3:$3)-AB$3+1)</f>
        <v>0</v>
      </c>
    </row>
    <row r="36" spans="1:28" x14ac:dyDescent="0.3">
      <c r="A36" s="11">
        <f>ROW()</f>
        <v>36</v>
      </c>
      <c r="G36" s="1" t="str">
        <f>Rep!$G$71</f>
        <v>Ввод в эксплуатацию ОС</v>
      </c>
    </row>
    <row r="37" spans="1:28" x14ac:dyDescent="0.3">
      <c r="A37" s="11">
        <f>ROW()</f>
        <v>37</v>
      </c>
      <c r="G37" s="29" t="str">
        <f>G36</f>
        <v>Ввод в эксплуатацию ОС</v>
      </c>
      <c r="H37" s="1" t="str">
        <f>Lists!$H$9</f>
        <v>Торговые точки</v>
      </c>
      <c r="M37" s="26">
        <f>$A$10</f>
        <v>10</v>
      </c>
      <c r="N37" s="26">
        <f>A34</f>
        <v>34</v>
      </c>
      <c r="R37" s="3">
        <f ca="1">SUM($T37:INDIRECT(ADDRESS(ROW(),SUMIFS($1:$1,$3:$3,MAX($3:$3)))))</f>
        <v>38500000</v>
      </c>
      <c r="U37" s="2">
        <f t="shared" ref="U37:V37" ca="1" si="37">SUMPRODUCT(INDIRECT(ADDRESS($M37,$U$1)&amp;":"&amp;ADDRESS($M37,U$1)),INDIRECT(ADDRESS($N37+1,MAX($1:$1)-U$3+1)&amp;":"&amp;ADDRESS($N37+1,MAX($1:$1))))</f>
        <v>0</v>
      </c>
      <c r="V37" s="2">
        <f t="shared" ca="1" si="37"/>
        <v>3500000</v>
      </c>
      <c r="W37" s="2">
        <f ca="1">SUMPRODUCT(INDIRECT(ADDRESS($M37,$U$1)&amp;":"&amp;ADDRESS($M37,W$1)),INDIRECT(ADDRESS($N37+1,MAX($1:$1)-W$3+1)&amp;":"&amp;ADDRESS($N37+1,MAX($1:$1))))</f>
        <v>0</v>
      </c>
      <c r="X37" s="2">
        <f t="shared" ref="X37:AB37" ca="1" si="38">SUMPRODUCT(INDIRECT(ADDRESS($M37,$U$1)&amp;":"&amp;ADDRESS($M37,X$1)),INDIRECT(ADDRESS($N37+1,MAX($1:$1)-X$3+1)&amp;":"&amp;ADDRESS($N37+1,MAX($1:$1))))</f>
        <v>7000000</v>
      </c>
      <c r="Y37" s="2">
        <f t="shared" ca="1" si="38"/>
        <v>0</v>
      </c>
      <c r="Z37" s="2">
        <f t="shared" ca="1" si="38"/>
        <v>10500000</v>
      </c>
      <c r="AA37" s="2">
        <f t="shared" ca="1" si="38"/>
        <v>0</v>
      </c>
      <c r="AB37" s="2">
        <f t="shared" ca="1" si="38"/>
        <v>17500000</v>
      </c>
    </row>
    <row r="38" spans="1:28" x14ac:dyDescent="0.3">
      <c r="A38" s="11">
        <f>ROW()</f>
        <v>38</v>
      </c>
    </row>
    <row r="39" spans="1:28" x14ac:dyDescent="0.3">
      <c r="A39" s="11">
        <f>ROW()</f>
        <v>39</v>
      </c>
      <c r="F39" s="1" t="s">
        <v>162</v>
      </c>
      <c r="R39" s="3">
        <f ca="1">SUM($T39:INDIRECT(ADDRESS(ROW(),SUMIFS($1:$1,$3:$3,MAX($3:$3)))))</f>
        <v>1000000</v>
      </c>
      <c r="U39" s="26"/>
      <c r="V39" s="26">
        <f ca="1">R24</f>
        <v>1000000</v>
      </c>
      <c r="W39" s="26"/>
      <c r="X39" s="26"/>
      <c r="Y39" s="26"/>
      <c r="Z39" s="26"/>
      <c r="AA39" s="26"/>
      <c r="AB39" s="26"/>
    </row>
    <row r="40" spans="1:28" ht="7.95" customHeight="1" x14ac:dyDescent="0.3">
      <c r="A40" s="11">
        <f>ROW()</f>
        <v>40</v>
      </c>
      <c r="U40" s="28">
        <f>SUMIFS(39:39,$3:$3,MAX($3:$3)-U$3+1)</f>
        <v>0</v>
      </c>
      <c r="V40" s="28">
        <f t="shared" ref="V40" si="39">SUMIFS(39:39,$3:$3,MAX($3:$3)-V$3+1)</f>
        <v>0</v>
      </c>
      <c r="W40" s="28">
        <f t="shared" ref="W40" si="40">SUMIFS(39:39,$3:$3,MAX($3:$3)-W$3+1)</f>
        <v>0</v>
      </c>
      <c r="X40" s="28">
        <f t="shared" ref="X40" si="41">SUMIFS(39:39,$3:$3,MAX($3:$3)-X$3+1)</f>
        <v>0</v>
      </c>
      <c r="Y40" s="28">
        <f t="shared" ref="Y40" si="42">SUMIFS(39:39,$3:$3,MAX($3:$3)-Y$3+1)</f>
        <v>0</v>
      </c>
      <c r="Z40" s="28">
        <f t="shared" ref="Z40" si="43">SUMIFS(39:39,$3:$3,MAX($3:$3)-Z$3+1)</f>
        <v>0</v>
      </c>
      <c r="AA40" s="28">
        <f t="shared" ref="AA40" ca="1" si="44">SUMIFS(39:39,$3:$3,MAX($3:$3)-AA$3+1)</f>
        <v>1000000</v>
      </c>
      <c r="AB40" s="28">
        <f t="shared" ref="AB40" si="45">SUMIFS(39:39,$3:$3,MAX($3:$3)-AB$3+1)</f>
        <v>0</v>
      </c>
    </row>
    <row r="41" spans="1:28" x14ac:dyDescent="0.3">
      <c r="A41" s="11">
        <f>ROW()</f>
        <v>41</v>
      </c>
      <c r="G41" s="1" t="str">
        <f>Rep!$G$71</f>
        <v>Ввод в эксплуатацию ОС</v>
      </c>
    </row>
    <row r="42" spans="1:28" x14ac:dyDescent="0.3">
      <c r="A42" s="11">
        <f>ROW()</f>
        <v>42</v>
      </c>
      <c r="G42" s="29" t="str">
        <f>G41</f>
        <v>Ввод в эксплуатацию ОС</v>
      </c>
      <c r="H42" s="1" t="str">
        <f>Lists!$H$10</f>
        <v>Инфраструктура для e-Comm</v>
      </c>
      <c r="M42" s="26">
        <f>$A$12</f>
        <v>12</v>
      </c>
      <c r="N42" s="26">
        <f>A39</f>
        <v>39</v>
      </c>
      <c r="R42" s="3">
        <f ca="1">SUM($T42:INDIRECT(ADDRESS(ROW(),SUMIFS($1:$1,$3:$3,MAX($3:$3)))))</f>
        <v>1000000</v>
      </c>
      <c r="U42" s="2">
        <f ca="1">SUMPRODUCT(INDIRECT(ADDRESS($M42,$U$1)&amp;":"&amp;ADDRESS($M42,U$1)),INDIRECT(ADDRESS($N42+1,MAX($1:$1)-U$3+1)&amp;":"&amp;ADDRESS($N42+1,MAX($1:$1))))</f>
        <v>0</v>
      </c>
      <c r="V42" s="2">
        <f t="shared" ref="V42:W42" ca="1" si="46">SUMPRODUCT(INDIRECT(ADDRESS($M42,$U$1)&amp;":"&amp;ADDRESS($M42,V$1)),INDIRECT(ADDRESS($N42+1,MAX($1:$1)-V$3+1)&amp;":"&amp;ADDRESS($N42+1,MAX($1:$1))))</f>
        <v>0</v>
      </c>
      <c r="W42" s="2">
        <f ca="1">SUMPRODUCT(INDIRECT(ADDRESS($M42,$U$1)&amp;":"&amp;ADDRESS($M42,W$1)),INDIRECT(ADDRESS($N42+1,MAX($1:$1)-W$3+1)&amp;":"&amp;ADDRESS($N42+1,MAX($1:$1))))</f>
        <v>0</v>
      </c>
      <c r="X42" s="2">
        <f t="shared" ref="X42:AB42" ca="1" si="47">SUMPRODUCT(INDIRECT(ADDRESS($M42,$U$1)&amp;":"&amp;ADDRESS($M42,X$1)),INDIRECT(ADDRESS($N42+1,MAX($1:$1)-X$3+1)&amp;":"&amp;ADDRESS($N42+1,MAX($1:$1))))</f>
        <v>0</v>
      </c>
      <c r="Y42" s="2">
        <f t="shared" ca="1" si="47"/>
        <v>1000000</v>
      </c>
      <c r="Z42" s="2">
        <f t="shared" ca="1" si="47"/>
        <v>0</v>
      </c>
      <c r="AA42" s="2">
        <f t="shared" ca="1" si="47"/>
        <v>0</v>
      </c>
      <c r="AB42" s="2">
        <f t="shared" ca="1" si="47"/>
        <v>0</v>
      </c>
    </row>
    <row r="43" spans="1:28" x14ac:dyDescent="0.3">
      <c r="A43" s="11">
        <f>ROW()</f>
        <v>43</v>
      </c>
    </row>
    <row r="44" spans="1:28" x14ac:dyDescent="0.3">
      <c r="A44" s="11">
        <f>ROW()</f>
        <v>44</v>
      </c>
      <c r="F44" s="1" t="s">
        <v>163</v>
      </c>
      <c r="R44" s="3">
        <f ca="1">SUM($T44:INDIRECT(ADDRESS(ROW(),SUMIFS($1:$1,$3:$3,MAX($3:$3)))))</f>
        <v>36000000</v>
      </c>
      <c r="U44" s="26">
        <f ca="1">30%*R14</f>
        <v>10800000</v>
      </c>
      <c r="V44" s="26">
        <f>70%*U14</f>
        <v>14000000</v>
      </c>
      <c r="W44" s="26">
        <f t="shared" ref="W44:AB44" si="48">70%*V14</f>
        <v>10500000</v>
      </c>
      <c r="X44" s="26">
        <f t="shared" si="48"/>
        <v>700000</v>
      </c>
      <c r="Y44" s="26">
        <f t="shared" si="48"/>
        <v>0</v>
      </c>
      <c r="Z44" s="26">
        <f t="shared" si="48"/>
        <v>0</v>
      </c>
      <c r="AA44" s="26">
        <f t="shared" si="48"/>
        <v>0</v>
      </c>
      <c r="AB44" s="26">
        <f t="shared" si="48"/>
        <v>0</v>
      </c>
    </row>
    <row r="45" spans="1:28" ht="7.95" customHeight="1" x14ac:dyDescent="0.3">
      <c r="A45" s="11">
        <f>ROW()</f>
        <v>45</v>
      </c>
      <c r="U45" s="28">
        <f>SUMIFS(44:44,$3:$3,MAX($3:$3)-U$3+1)</f>
        <v>0</v>
      </c>
      <c r="V45" s="28">
        <f t="shared" ref="V45" si="49">SUMIFS(44:44,$3:$3,MAX($3:$3)-V$3+1)</f>
        <v>0</v>
      </c>
      <c r="W45" s="28">
        <f t="shared" ref="W45" si="50">SUMIFS(44:44,$3:$3,MAX($3:$3)-W$3+1)</f>
        <v>0</v>
      </c>
      <c r="X45" s="28">
        <f t="shared" ref="X45" si="51">SUMIFS(44:44,$3:$3,MAX($3:$3)-X$3+1)</f>
        <v>0</v>
      </c>
      <c r="Y45" s="28">
        <f t="shared" ref="Y45" si="52">SUMIFS(44:44,$3:$3,MAX($3:$3)-Y$3+1)</f>
        <v>700000</v>
      </c>
      <c r="Z45" s="28">
        <f t="shared" ref="Z45" si="53">SUMIFS(44:44,$3:$3,MAX($3:$3)-Z$3+1)</f>
        <v>10500000</v>
      </c>
      <c r="AA45" s="28">
        <f t="shared" ref="AA45" si="54">SUMIFS(44:44,$3:$3,MAX($3:$3)-AA$3+1)</f>
        <v>14000000</v>
      </c>
      <c r="AB45" s="28">
        <f t="shared" ref="AB45" ca="1" si="55">SUMIFS(44:44,$3:$3,MAX($3:$3)-AB$3+1)</f>
        <v>10800000</v>
      </c>
    </row>
    <row r="46" spans="1:28" x14ac:dyDescent="0.3">
      <c r="A46" s="11">
        <f>ROW()</f>
        <v>46</v>
      </c>
      <c r="G46" s="1" t="str">
        <f>Rep!$G$103</f>
        <v>Оплата капзатрат</v>
      </c>
    </row>
    <row r="47" spans="1:28" x14ac:dyDescent="0.3">
      <c r="A47" s="11">
        <f>ROW()</f>
        <v>47</v>
      </c>
      <c r="G47" s="29" t="str">
        <f>G46</f>
        <v>Оплата капзатрат</v>
      </c>
      <c r="H47" s="1" t="str">
        <f>Lists!$H$8</f>
        <v>Производственные цеха</v>
      </c>
      <c r="M47" s="26">
        <f>$A$8</f>
        <v>8</v>
      </c>
      <c r="N47" s="26">
        <f>A44</f>
        <v>44</v>
      </c>
      <c r="R47" s="3">
        <f ca="1">SUM($T47:INDIRECT(ADDRESS(ROW(),SUMIFS($1:$1,$3:$3,MAX($3:$3)))))</f>
        <v>72000000</v>
      </c>
      <c r="U47" s="2">
        <f t="shared" ref="U47:V47" ca="1" si="56">SUMPRODUCT(INDIRECT(ADDRESS($M47,$U$1)&amp;":"&amp;ADDRESS($M47,U$1)),INDIRECT(ADDRESS($N47+1,MAX($1:$1)-U$3+1)&amp;":"&amp;ADDRESS($N47+1,MAX($1:$1))))</f>
        <v>10800000</v>
      </c>
      <c r="V47" s="2">
        <f t="shared" ca="1" si="56"/>
        <v>14000000</v>
      </c>
      <c r="W47" s="2">
        <f ca="1">SUMPRODUCT(INDIRECT(ADDRESS($M47,$U$1)&amp;":"&amp;ADDRESS($M47,W$1)),INDIRECT(ADDRESS($N47+1,MAX($1:$1)-W$3+1)&amp;":"&amp;ADDRESS($N47+1,MAX($1:$1))))</f>
        <v>10500000</v>
      </c>
      <c r="X47" s="2">
        <f t="shared" ref="X47:AB47" ca="1" si="57">SUMPRODUCT(INDIRECT(ADDRESS($M47,$U$1)&amp;":"&amp;ADDRESS($M47,X$1)),INDIRECT(ADDRESS($N47+1,MAX($1:$1)-X$3+1)&amp;":"&amp;ADDRESS($N47+1,MAX($1:$1))))</f>
        <v>700000</v>
      </c>
      <c r="Y47" s="2">
        <f t="shared" ca="1" si="57"/>
        <v>10800000</v>
      </c>
      <c r="Z47" s="2">
        <f t="shared" ca="1" si="57"/>
        <v>14000000</v>
      </c>
      <c r="AA47" s="2">
        <f t="shared" ca="1" si="57"/>
        <v>10500000</v>
      </c>
      <c r="AB47" s="2">
        <f t="shared" ca="1" si="57"/>
        <v>700000</v>
      </c>
    </row>
    <row r="48" spans="1:28" x14ac:dyDescent="0.3">
      <c r="A48" s="11">
        <f>ROW()</f>
        <v>48</v>
      </c>
    </row>
    <row r="49" spans="1:28" x14ac:dyDescent="0.3">
      <c r="A49" s="11">
        <f>ROW()</f>
        <v>49</v>
      </c>
      <c r="F49" s="1" t="s">
        <v>164</v>
      </c>
      <c r="R49" s="3">
        <f ca="1">SUM($T49:INDIRECT(ADDRESS(ROW(),SUMIFS($1:$1,$3:$3,MAX($3:$3)))))</f>
        <v>3500000</v>
      </c>
      <c r="U49" s="26">
        <f ca="1">30%*R19</f>
        <v>1050000</v>
      </c>
      <c r="V49" s="26">
        <f>70%*U19</f>
        <v>2100000</v>
      </c>
      <c r="W49" s="26">
        <f t="shared" ref="W49:AB49" si="58">70%*V19</f>
        <v>350000</v>
      </c>
      <c r="X49" s="26">
        <f t="shared" si="58"/>
        <v>0</v>
      </c>
      <c r="Y49" s="26">
        <f t="shared" si="58"/>
        <v>0</v>
      </c>
      <c r="Z49" s="26">
        <f t="shared" si="58"/>
        <v>0</v>
      </c>
      <c r="AA49" s="26">
        <f t="shared" si="58"/>
        <v>0</v>
      </c>
      <c r="AB49" s="26">
        <f t="shared" si="58"/>
        <v>0</v>
      </c>
    </row>
    <row r="50" spans="1:28" ht="7.95" customHeight="1" x14ac:dyDescent="0.3">
      <c r="A50" s="11">
        <f>ROW()</f>
        <v>50</v>
      </c>
      <c r="U50" s="28">
        <f>SUMIFS(49:49,$3:$3,MAX($3:$3)-U$3+1)</f>
        <v>0</v>
      </c>
      <c r="V50" s="28">
        <f t="shared" ref="V50" si="59">SUMIFS(49:49,$3:$3,MAX($3:$3)-V$3+1)</f>
        <v>0</v>
      </c>
      <c r="W50" s="28">
        <f t="shared" ref="W50" si="60">SUMIFS(49:49,$3:$3,MAX($3:$3)-W$3+1)</f>
        <v>0</v>
      </c>
      <c r="X50" s="28">
        <f t="shared" ref="X50" si="61">SUMIFS(49:49,$3:$3,MAX($3:$3)-X$3+1)</f>
        <v>0</v>
      </c>
      <c r="Y50" s="28">
        <f t="shared" ref="Y50" si="62">SUMIFS(49:49,$3:$3,MAX($3:$3)-Y$3+1)</f>
        <v>0</v>
      </c>
      <c r="Z50" s="28">
        <f t="shared" ref="Z50" si="63">SUMIFS(49:49,$3:$3,MAX($3:$3)-Z$3+1)</f>
        <v>350000</v>
      </c>
      <c r="AA50" s="28">
        <f t="shared" ref="AA50" si="64">SUMIFS(49:49,$3:$3,MAX($3:$3)-AA$3+1)</f>
        <v>2100000</v>
      </c>
      <c r="AB50" s="28">
        <f t="shared" ref="AB50" ca="1" si="65">SUMIFS(49:49,$3:$3,MAX($3:$3)-AB$3+1)</f>
        <v>1050000</v>
      </c>
    </row>
    <row r="51" spans="1:28" x14ac:dyDescent="0.3">
      <c r="A51" s="11">
        <f>ROW()</f>
        <v>51</v>
      </c>
      <c r="G51" s="1" t="str">
        <f>Rep!$G$103</f>
        <v>Оплата капзатрат</v>
      </c>
    </row>
    <row r="52" spans="1:28" x14ac:dyDescent="0.3">
      <c r="A52" s="11">
        <f>ROW()</f>
        <v>52</v>
      </c>
      <c r="G52" s="29" t="str">
        <f>G51</f>
        <v>Оплата капзатрат</v>
      </c>
      <c r="H52" s="1" t="str">
        <f>Lists!$H$9</f>
        <v>Торговые точки</v>
      </c>
      <c r="M52" s="26">
        <f>$A$10</f>
        <v>10</v>
      </c>
      <c r="N52" s="26">
        <f>A49</f>
        <v>49</v>
      </c>
      <c r="R52" s="3">
        <f ca="1">SUM($T52:INDIRECT(ADDRESS(ROW(),SUMIFS($1:$1,$3:$3,MAX($3:$3)))))</f>
        <v>36750000</v>
      </c>
      <c r="U52" s="2">
        <f t="shared" ref="U52:V52" ca="1" si="66">SUMPRODUCT(INDIRECT(ADDRESS($M52,$U$1)&amp;":"&amp;ADDRESS($M52,U$1)),INDIRECT(ADDRESS($N52+1,MAX($1:$1)-U$3+1)&amp;":"&amp;ADDRESS($N52+1,MAX($1:$1))))</f>
        <v>1050000</v>
      </c>
      <c r="V52" s="2">
        <f t="shared" ca="1" si="66"/>
        <v>2100000</v>
      </c>
      <c r="W52" s="2">
        <f ca="1">SUMPRODUCT(INDIRECT(ADDRESS($M52,$U$1)&amp;":"&amp;ADDRESS($M52,W$1)),INDIRECT(ADDRESS($N52+1,MAX($1:$1)-W$3+1)&amp;":"&amp;ADDRESS($N52+1,MAX($1:$1))))</f>
        <v>2450000</v>
      </c>
      <c r="X52" s="2">
        <f t="shared" ref="X52:AB52" ca="1" si="67">SUMPRODUCT(INDIRECT(ADDRESS($M52,$U$1)&amp;":"&amp;ADDRESS($M52,X$1)),INDIRECT(ADDRESS($N52+1,MAX($1:$1)-X$3+1)&amp;":"&amp;ADDRESS($N52+1,MAX($1:$1))))</f>
        <v>4200000</v>
      </c>
      <c r="Y52" s="2">
        <f t="shared" ca="1" si="67"/>
        <v>3850000</v>
      </c>
      <c r="Z52" s="2">
        <f t="shared" ca="1" si="67"/>
        <v>6300000</v>
      </c>
      <c r="AA52" s="2">
        <f t="shared" ca="1" si="67"/>
        <v>6300000</v>
      </c>
      <c r="AB52" s="2">
        <f t="shared" ca="1" si="67"/>
        <v>10500000</v>
      </c>
    </row>
    <row r="53" spans="1:28" x14ac:dyDescent="0.3">
      <c r="A53" s="11">
        <f>ROW()</f>
        <v>53</v>
      </c>
    </row>
    <row r="54" spans="1:28" x14ac:dyDescent="0.3">
      <c r="A54" s="11">
        <f>ROW()</f>
        <v>54</v>
      </c>
      <c r="F54" s="1" t="s">
        <v>165</v>
      </c>
      <c r="R54" s="3">
        <f ca="1">SUM($T54:INDIRECT(ADDRESS(ROW(),SUMIFS($1:$1,$3:$3,MAX($3:$3)))))</f>
        <v>1000000</v>
      </c>
      <c r="U54" s="26">
        <f ca="1">30%*R24</f>
        <v>300000</v>
      </c>
      <c r="V54" s="26">
        <f>70%*U24</f>
        <v>489999.99999999994</v>
      </c>
      <c r="W54" s="26">
        <f t="shared" ref="W54:AB54" si="68">70%*V24</f>
        <v>210000</v>
      </c>
      <c r="X54" s="26">
        <f t="shared" si="68"/>
        <v>0</v>
      </c>
      <c r="Y54" s="26">
        <f t="shared" si="68"/>
        <v>0</v>
      </c>
      <c r="Z54" s="26">
        <f t="shared" si="68"/>
        <v>0</v>
      </c>
      <c r="AA54" s="26">
        <f t="shared" si="68"/>
        <v>0</v>
      </c>
      <c r="AB54" s="26">
        <f t="shared" si="68"/>
        <v>0</v>
      </c>
    </row>
    <row r="55" spans="1:28" ht="7.95" customHeight="1" x14ac:dyDescent="0.3">
      <c r="A55" s="11">
        <f>ROW()</f>
        <v>55</v>
      </c>
      <c r="U55" s="28">
        <f>SUMIFS(54:54,$3:$3,MAX($3:$3)-U$3+1)</f>
        <v>0</v>
      </c>
      <c r="V55" s="28">
        <f t="shared" ref="V55" si="69">SUMIFS(54:54,$3:$3,MAX($3:$3)-V$3+1)</f>
        <v>0</v>
      </c>
      <c r="W55" s="28">
        <f t="shared" ref="W55" si="70">SUMIFS(54:54,$3:$3,MAX($3:$3)-W$3+1)</f>
        <v>0</v>
      </c>
      <c r="X55" s="28">
        <f t="shared" ref="X55" si="71">SUMIFS(54:54,$3:$3,MAX($3:$3)-X$3+1)</f>
        <v>0</v>
      </c>
      <c r="Y55" s="28">
        <f t="shared" ref="Y55" si="72">SUMIFS(54:54,$3:$3,MAX($3:$3)-Y$3+1)</f>
        <v>0</v>
      </c>
      <c r="Z55" s="28">
        <f t="shared" ref="Z55" si="73">SUMIFS(54:54,$3:$3,MAX($3:$3)-Z$3+1)</f>
        <v>210000</v>
      </c>
      <c r="AA55" s="28">
        <f t="shared" ref="AA55" si="74">SUMIFS(54:54,$3:$3,MAX($3:$3)-AA$3+1)</f>
        <v>489999.99999999994</v>
      </c>
      <c r="AB55" s="28">
        <f t="shared" ref="AB55" ca="1" si="75">SUMIFS(54:54,$3:$3,MAX($3:$3)-AB$3+1)</f>
        <v>300000</v>
      </c>
    </row>
    <row r="56" spans="1:28" x14ac:dyDescent="0.3">
      <c r="A56" s="11">
        <f>ROW()</f>
        <v>56</v>
      </c>
      <c r="G56" s="1" t="str">
        <f>Rep!$G$103</f>
        <v>Оплата капзатрат</v>
      </c>
    </row>
    <row r="57" spans="1:28" x14ac:dyDescent="0.3">
      <c r="A57" s="11">
        <f>ROW()</f>
        <v>57</v>
      </c>
      <c r="G57" s="29" t="str">
        <f>G56</f>
        <v>Оплата капзатрат</v>
      </c>
      <c r="H57" s="1" t="str">
        <f>Lists!$H$10</f>
        <v>Инфраструктура для e-Comm</v>
      </c>
      <c r="M57" s="26">
        <f>$A$12</f>
        <v>12</v>
      </c>
      <c r="N57" s="26">
        <f>A54</f>
        <v>54</v>
      </c>
      <c r="R57" s="3">
        <f ca="1">SUM($T57:INDIRECT(ADDRESS(ROW(),SUMIFS($1:$1,$3:$3,MAX($3:$3)))))</f>
        <v>1000000</v>
      </c>
      <c r="U57" s="2">
        <f ca="1">SUMPRODUCT(INDIRECT(ADDRESS($M57,$U$1)&amp;":"&amp;ADDRESS($M57,U$1)),INDIRECT(ADDRESS($N57+1,MAX($1:$1)-U$3+1)&amp;":"&amp;ADDRESS($N57+1,MAX($1:$1))))</f>
        <v>0</v>
      </c>
      <c r="V57" s="2">
        <f t="shared" ref="V57:W57" ca="1" si="76">SUMPRODUCT(INDIRECT(ADDRESS($M57,$U$1)&amp;":"&amp;ADDRESS($M57,V$1)),INDIRECT(ADDRESS($N57+1,MAX($1:$1)-V$3+1)&amp;":"&amp;ADDRESS($N57+1,MAX($1:$1))))</f>
        <v>0</v>
      </c>
      <c r="W57" s="2">
        <f ca="1">SUMPRODUCT(INDIRECT(ADDRESS($M57,$U$1)&amp;":"&amp;ADDRESS($M57,W$1)),INDIRECT(ADDRESS($N57+1,MAX($1:$1)-W$3+1)&amp;":"&amp;ADDRESS($N57+1,MAX($1:$1))))</f>
        <v>0</v>
      </c>
      <c r="X57" s="2">
        <f t="shared" ref="X57:AB57" ca="1" si="77">SUMPRODUCT(INDIRECT(ADDRESS($M57,$U$1)&amp;":"&amp;ADDRESS($M57,X$1)),INDIRECT(ADDRESS($N57+1,MAX($1:$1)-X$3+1)&amp;":"&amp;ADDRESS($N57+1,MAX($1:$1))))</f>
        <v>300000</v>
      </c>
      <c r="Y57" s="2">
        <f t="shared" ca="1" si="77"/>
        <v>489999.99999999994</v>
      </c>
      <c r="Z57" s="2">
        <f t="shared" ca="1" si="77"/>
        <v>210000</v>
      </c>
      <c r="AA57" s="2">
        <f t="shared" ca="1" si="77"/>
        <v>0</v>
      </c>
      <c r="AB57" s="2">
        <f t="shared" ca="1" si="77"/>
        <v>0</v>
      </c>
    </row>
    <row r="58" spans="1:28" x14ac:dyDescent="0.3">
      <c r="A58" s="11">
        <f>ROW()</f>
        <v>58</v>
      </c>
    </row>
    <row r="59" spans="1:28" x14ac:dyDescent="0.3">
      <c r="A59" s="11">
        <f>ROW()</f>
        <v>59</v>
      </c>
      <c r="F59" s="1" t="s">
        <v>166</v>
      </c>
      <c r="M59" s="26">
        <v>7</v>
      </c>
      <c r="R59" s="36">
        <f ca="1">SUM($T59:INDIRECT(ADDRESS(ROW(),SUMIFS($1:$1,$3:$3,MAX($3:$3)))))</f>
        <v>8.3333333333333329E-2</v>
      </c>
      <c r="U59" s="37">
        <f t="shared" ref="U59:Y59" si="78">IF(U$3=1,0,100%/(IF($M59=0,1,$M59)*12))</f>
        <v>0</v>
      </c>
      <c r="V59" s="37">
        <f t="shared" si="78"/>
        <v>1.1904761904761904E-2</v>
      </c>
      <c r="W59" s="37">
        <f t="shared" si="78"/>
        <v>1.1904761904761904E-2</v>
      </c>
      <c r="X59" s="37">
        <f t="shared" si="78"/>
        <v>1.1904761904761904E-2</v>
      </c>
      <c r="Y59" s="37">
        <f t="shared" si="78"/>
        <v>1.1904761904761904E-2</v>
      </c>
      <c r="Z59" s="37">
        <f>IF(Z$3=1,0,100%/(IF($M59=0,1,$M59)*12))</f>
        <v>1.1904761904761904E-2</v>
      </c>
      <c r="AA59" s="37">
        <f t="shared" ref="AA59:AB59" si="79">IF(AA$3=1,0,100%/(IF($M59=0,1,$M59)*12))</f>
        <v>1.1904761904761904E-2</v>
      </c>
      <c r="AB59" s="37">
        <f t="shared" si="79"/>
        <v>1.1904761904761904E-2</v>
      </c>
    </row>
    <row r="60" spans="1:28" ht="7.95" customHeight="1" x14ac:dyDescent="0.3">
      <c r="A60" s="11">
        <f>ROW()</f>
        <v>60</v>
      </c>
      <c r="U60" s="28">
        <f>SUMIFS(59:59,$3:$3,MAX($3:$3)-U$3+1)</f>
        <v>1.1904761904761904E-2</v>
      </c>
      <c r="V60" s="28">
        <f t="shared" ref="V60" si="80">SUMIFS(59:59,$3:$3,MAX($3:$3)-V$3+1)</f>
        <v>1.1904761904761904E-2</v>
      </c>
      <c r="W60" s="28">
        <f t="shared" ref="W60" si="81">SUMIFS(59:59,$3:$3,MAX($3:$3)-W$3+1)</f>
        <v>1.1904761904761904E-2</v>
      </c>
      <c r="X60" s="28">
        <f t="shared" ref="X60" si="82">SUMIFS(59:59,$3:$3,MAX($3:$3)-X$3+1)</f>
        <v>1.1904761904761904E-2</v>
      </c>
      <c r="Y60" s="28">
        <f t="shared" ref="Y60" si="83">SUMIFS(59:59,$3:$3,MAX($3:$3)-Y$3+1)</f>
        <v>1.1904761904761904E-2</v>
      </c>
      <c r="Z60" s="28">
        <f t="shared" ref="Z60" si="84">SUMIFS(59:59,$3:$3,MAX($3:$3)-Z$3+1)</f>
        <v>1.1904761904761904E-2</v>
      </c>
      <c r="AA60" s="28">
        <f t="shared" ref="AA60" si="85">SUMIFS(59:59,$3:$3,MAX($3:$3)-AA$3+1)</f>
        <v>1.1904761904761904E-2</v>
      </c>
      <c r="AB60" s="28">
        <f t="shared" ref="AB60" si="86">SUMIFS(59:59,$3:$3,MAX($3:$3)-AB$3+1)</f>
        <v>0</v>
      </c>
    </row>
    <row r="61" spans="1:28" x14ac:dyDescent="0.3">
      <c r="A61" s="11">
        <f>ROW()</f>
        <v>61</v>
      </c>
      <c r="G61" s="1" t="str">
        <f>Rep!$G$168</f>
        <v>Амортизация ОС</v>
      </c>
    </row>
    <row r="62" spans="1:28" x14ac:dyDescent="0.3">
      <c r="A62" s="11">
        <f>ROW()</f>
        <v>62</v>
      </c>
      <c r="G62" s="29" t="str">
        <f>G61</f>
        <v>Амортизация ОС</v>
      </c>
      <c r="H62" s="1" t="str">
        <f>Lists!$H$8</f>
        <v>Производственные цеха</v>
      </c>
      <c r="M62" s="26">
        <f>$A$32</f>
        <v>32</v>
      </c>
      <c r="N62" s="26">
        <f>A59</f>
        <v>59</v>
      </c>
      <c r="R62" s="3">
        <f ca="1">SUM($T62:INDIRECT(ADDRESS(ROW(),SUMIFS($1:$1,$3:$3,MAX($3:$3)))))</f>
        <v>2571428.5714285709</v>
      </c>
      <c r="U62" s="2">
        <f t="shared" ref="U62:V62" ca="1" si="87">SUMPRODUCT(INDIRECT(ADDRESS($M62,$U$1)&amp;":"&amp;ADDRESS($M62,U$1)),INDIRECT(ADDRESS($N62+1,MAX($1:$1)-U$3+1)&amp;":"&amp;ADDRESS($N62+1,MAX($1:$1))))</f>
        <v>0</v>
      </c>
      <c r="V62" s="2">
        <f t="shared" ca="1" si="87"/>
        <v>0</v>
      </c>
      <c r="W62" s="2">
        <f ca="1">SUMPRODUCT(INDIRECT(ADDRESS($M62,$U$1)&amp;":"&amp;ADDRESS($M62,W$1)),INDIRECT(ADDRESS($N62+1,MAX($1:$1)-W$3+1)&amp;":"&amp;ADDRESS($N62+1,MAX($1:$1))))</f>
        <v>0</v>
      </c>
      <c r="X62" s="2">
        <f t="shared" ref="X62:AB62" ca="1" si="88">SUMPRODUCT(INDIRECT(ADDRESS($M62,$U$1)&amp;":"&amp;ADDRESS($M62,X$1)),INDIRECT(ADDRESS($N62+1,MAX($1:$1)-X$3+1)&amp;":"&amp;ADDRESS($N62+1,MAX($1:$1))))</f>
        <v>428571.42857142852</v>
      </c>
      <c r="Y62" s="2">
        <f t="shared" ca="1" si="88"/>
        <v>428571.42857142852</v>
      </c>
      <c r="Z62" s="2">
        <f t="shared" ca="1" si="88"/>
        <v>428571.42857142852</v>
      </c>
      <c r="AA62" s="2">
        <f t="shared" ca="1" si="88"/>
        <v>428571.42857142852</v>
      </c>
      <c r="AB62" s="2">
        <f t="shared" ca="1" si="88"/>
        <v>857142.85714285704</v>
      </c>
    </row>
    <row r="63" spans="1:28" x14ac:dyDescent="0.3">
      <c r="A63" s="11">
        <f>ROW()</f>
        <v>63</v>
      </c>
    </row>
    <row r="64" spans="1:28" x14ac:dyDescent="0.3">
      <c r="A64" s="11">
        <f>ROW()</f>
        <v>64</v>
      </c>
      <c r="F64" s="1" t="s">
        <v>167</v>
      </c>
      <c r="M64" s="26">
        <v>5</v>
      </c>
      <c r="R64" s="36">
        <f ca="1">SUM($T64:INDIRECT(ADDRESS(ROW(),SUMIFS($1:$1,$3:$3,MAX($3:$3)))))</f>
        <v>0.11666666666666665</v>
      </c>
      <c r="U64" s="37">
        <f t="shared" ref="U64:Y64" si="89">IF(U$3=1,0,100%/(IF($M64=0,1,$M64)*12))</f>
        <v>0</v>
      </c>
      <c r="V64" s="37">
        <f t="shared" si="89"/>
        <v>1.6666666666666666E-2</v>
      </c>
      <c r="W64" s="37">
        <f t="shared" si="89"/>
        <v>1.6666666666666666E-2</v>
      </c>
      <c r="X64" s="37">
        <f t="shared" si="89"/>
        <v>1.6666666666666666E-2</v>
      </c>
      <c r="Y64" s="37">
        <f t="shared" si="89"/>
        <v>1.6666666666666666E-2</v>
      </c>
      <c r="Z64" s="37">
        <f>IF(Z$3=1,0,100%/(IF($M64=0,1,$M64)*12))</f>
        <v>1.6666666666666666E-2</v>
      </c>
      <c r="AA64" s="37">
        <f t="shared" ref="AA64:AB64" si="90">IF(AA$3=1,0,100%/(IF($M64=0,1,$M64)*12))</f>
        <v>1.6666666666666666E-2</v>
      </c>
      <c r="AB64" s="37">
        <f t="shared" si="90"/>
        <v>1.6666666666666666E-2</v>
      </c>
    </row>
    <row r="65" spans="1:28" ht="7.95" customHeight="1" x14ac:dyDescent="0.3">
      <c r="A65" s="11">
        <f>ROW()</f>
        <v>65</v>
      </c>
      <c r="U65" s="28">
        <f>SUMIFS(64:64,$3:$3,MAX($3:$3)-U$3+1)</f>
        <v>1.6666666666666666E-2</v>
      </c>
      <c r="V65" s="28">
        <f t="shared" ref="V65" si="91">SUMIFS(64:64,$3:$3,MAX($3:$3)-V$3+1)</f>
        <v>1.6666666666666666E-2</v>
      </c>
      <c r="W65" s="28">
        <f t="shared" ref="W65" si="92">SUMIFS(64:64,$3:$3,MAX($3:$3)-W$3+1)</f>
        <v>1.6666666666666666E-2</v>
      </c>
      <c r="X65" s="28">
        <f t="shared" ref="X65" si="93">SUMIFS(64:64,$3:$3,MAX($3:$3)-X$3+1)</f>
        <v>1.6666666666666666E-2</v>
      </c>
      <c r="Y65" s="28">
        <f t="shared" ref="Y65" si="94">SUMIFS(64:64,$3:$3,MAX($3:$3)-Y$3+1)</f>
        <v>1.6666666666666666E-2</v>
      </c>
      <c r="Z65" s="28">
        <f t="shared" ref="Z65" si="95">SUMIFS(64:64,$3:$3,MAX($3:$3)-Z$3+1)</f>
        <v>1.6666666666666666E-2</v>
      </c>
      <c r="AA65" s="28">
        <f t="shared" ref="AA65" si="96">SUMIFS(64:64,$3:$3,MAX($3:$3)-AA$3+1)</f>
        <v>1.6666666666666666E-2</v>
      </c>
      <c r="AB65" s="28">
        <f t="shared" ref="AB65" si="97">SUMIFS(64:64,$3:$3,MAX($3:$3)-AB$3+1)</f>
        <v>0</v>
      </c>
    </row>
    <row r="66" spans="1:28" x14ac:dyDescent="0.3">
      <c r="A66" s="11">
        <f>ROW()</f>
        <v>66</v>
      </c>
      <c r="G66" s="1" t="str">
        <f>Rep!$G$168</f>
        <v>Амортизация ОС</v>
      </c>
    </row>
    <row r="67" spans="1:28" x14ac:dyDescent="0.3">
      <c r="A67" s="11">
        <f>ROW()</f>
        <v>67</v>
      </c>
      <c r="G67" s="29" t="str">
        <f>G66</f>
        <v>Амортизация ОС</v>
      </c>
      <c r="H67" s="1" t="str">
        <f>Lists!$H$9</f>
        <v>Торговые точки</v>
      </c>
      <c r="M67" s="26">
        <f>$A$37</f>
        <v>37</v>
      </c>
      <c r="N67" s="26">
        <f>A64</f>
        <v>64</v>
      </c>
      <c r="R67" s="3">
        <f ca="1">SUM($T67:INDIRECT(ADDRESS(ROW(),SUMIFS($1:$1,$3:$3,MAX($3:$3)))))</f>
        <v>1166666.6666666667</v>
      </c>
      <c r="U67" s="2">
        <f t="shared" ref="U67:V67" ca="1" si="98">SUMPRODUCT(INDIRECT(ADDRESS($M67,$U$1)&amp;":"&amp;ADDRESS($M67,U$1)),INDIRECT(ADDRESS($N67+1,MAX($1:$1)-U$3+1)&amp;":"&amp;ADDRESS($N67+1,MAX($1:$1))))</f>
        <v>0</v>
      </c>
      <c r="V67" s="2">
        <f t="shared" ca="1" si="98"/>
        <v>0</v>
      </c>
      <c r="W67" s="2">
        <f ca="1">SUMPRODUCT(INDIRECT(ADDRESS($M67,$U$1)&amp;":"&amp;ADDRESS($M67,W$1)),INDIRECT(ADDRESS($N67+1,MAX($1:$1)-W$3+1)&amp;":"&amp;ADDRESS($N67+1,MAX($1:$1))))</f>
        <v>58333.333333333336</v>
      </c>
      <c r="X67" s="2">
        <f t="shared" ref="X67:AB67" ca="1" si="99">SUMPRODUCT(INDIRECT(ADDRESS($M67,$U$1)&amp;":"&amp;ADDRESS($M67,X$1)),INDIRECT(ADDRESS($N67+1,MAX($1:$1)-X$3+1)&amp;":"&amp;ADDRESS($N67+1,MAX($1:$1))))</f>
        <v>58333.333333333336</v>
      </c>
      <c r="Y67" s="2">
        <f t="shared" ca="1" si="99"/>
        <v>175000</v>
      </c>
      <c r="Z67" s="2">
        <f t="shared" ca="1" si="99"/>
        <v>175000</v>
      </c>
      <c r="AA67" s="2">
        <f t="shared" ca="1" si="99"/>
        <v>350000</v>
      </c>
      <c r="AB67" s="2">
        <f t="shared" ca="1" si="99"/>
        <v>350000</v>
      </c>
    </row>
    <row r="68" spans="1:28" x14ac:dyDescent="0.3">
      <c r="A68" s="11">
        <f>ROW()</f>
        <v>68</v>
      </c>
    </row>
    <row r="69" spans="1:28" x14ac:dyDescent="0.3">
      <c r="A69" s="11">
        <f>ROW()</f>
        <v>69</v>
      </c>
      <c r="F69" s="1" t="s">
        <v>168</v>
      </c>
      <c r="M69" s="26">
        <v>3</v>
      </c>
      <c r="R69" s="36">
        <f ca="1">SUM($T69:INDIRECT(ADDRESS(ROW(),SUMIFS($1:$1,$3:$3,MAX($3:$3)))))</f>
        <v>0.19444444444444448</v>
      </c>
      <c r="U69" s="37">
        <f t="shared" ref="U69:Y69" si="100">IF(U$3=1,0,100%/(IF($M69=0,1,$M69)*12))</f>
        <v>0</v>
      </c>
      <c r="V69" s="37">
        <f t="shared" si="100"/>
        <v>2.7777777777777776E-2</v>
      </c>
      <c r="W69" s="37">
        <f t="shared" si="100"/>
        <v>2.7777777777777776E-2</v>
      </c>
      <c r="X69" s="37">
        <f t="shared" si="100"/>
        <v>2.7777777777777776E-2</v>
      </c>
      <c r="Y69" s="37">
        <f t="shared" si="100"/>
        <v>2.7777777777777776E-2</v>
      </c>
      <c r="Z69" s="37">
        <f>IF(Z$3=1,0,100%/(IF($M69=0,1,$M69)*12))</f>
        <v>2.7777777777777776E-2</v>
      </c>
      <c r="AA69" s="37">
        <f t="shared" ref="AA69:AB69" si="101">IF(AA$3=1,0,100%/(IF($M69=0,1,$M69)*12))</f>
        <v>2.7777777777777776E-2</v>
      </c>
      <c r="AB69" s="37">
        <f t="shared" si="101"/>
        <v>2.7777777777777776E-2</v>
      </c>
    </row>
    <row r="70" spans="1:28" ht="7.95" customHeight="1" x14ac:dyDescent="0.3">
      <c r="A70" s="11">
        <f>ROW()</f>
        <v>70</v>
      </c>
      <c r="U70" s="28">
        <f>SUMIFS(69:69,$3:$3,MAX($3:$3)-U$3+1)</f>
        <v>2.7777777777777776E-2</v>
      </c>
      <c r="V70" s="28">
        <f t="shared" ref="V70" si="102">SUMIFS(69:69,$3:$3,MAX($3:$3)-V$3+1)</f>
        <v>2.7777777777777776E-2</v>
      </c>
      <c r="W70" s="28">
        <f t="shared" ref="W70" si="103">SUMIFS(69:69,$3:$3,MAX($3:$3)-W$3+1)</f>
        <v>2.7777777777777776E-2</v>
      </c>
      <c r="X70" s="28">
        <f t="shared" ref="X70" si="104">SUMIFS(69:69,$3:$3,MAX($3:$3)-X$3+1)</f>
        <v>2.7777777777777776E-2</v>
      </c>
      <c r="Y70" s="28">
        <f t="shared" ref="Y70" si="105">SUMIFS(69:69,$3:$3,MAX($3:$3)-Y$3+1)</f>
        <v>2.7777777777777776E-2</v>
      </c>
      <c r="Z70" s="28">
        <f t="shared" ref="Z70" si="106">SUMIFS(69:69,$3:$3,MAX($3:$3)-Z$3+1)</f>
        <v>2.7777777777777776E-2</v>
      </c>
      <c r="AA70" s="28">
        <f t="shared" ref="AA70" si="107">SUMIFS(69:69,$3:$3,MAX($3:$3)-AA$3+1)</f>
        <v>2.7777777777777776E-2</v>
      </c>
      <c r="AB70" s="28">
        <f t="shared" ref="AB70" si="108">SUMIFS(69:69,$3:$3,MAX($3:$3)-AB$3+1)</f>
        <v>0</v>
      </c>
    </row>
    <row r="71" spans="1:28" x14ac:dyDescent="0.3">
      <c r="A71" s="11">
        <f>ROW()</f>
        <v>71</v>
      </c>
      <c r="G71" s="1" t="str">
        <f>Rep!$G$168</f>
        <v>Амортизация ОС</v>
      </c>
    </row>
    <row r="72" spans="1:28" x14ac:dyDescent="0.3">
      <c r="A72" s="11">
        <f>ROW()</f>
        <v>72</v>
      </c>
      <c r="G72" s="29" t="str">
        <f>G71</f>
        <v>Амортизация ОС</v>
      </c>
      <c r="H72" s="1" t="str">
        <f>Lists!$H$10</f>
        <v>Инфраструктура для e-Comm</v>
      </c>
      <c r="M72" s="26">
        <f>$A$42</f>
        <v>42</v>
      </c>
      <c r="N72" s="26">
        <f>A69</f>
        <v>69</v>
      </c>
      <c r="R72" s="3">
        <f ca="1">SUM($T72:INDIRECT(ADDRESS(ROW(),SUMIFS($1:$1,$3:$3,MAX($3:$3)))))</f>
        <v>83333.333333333328</v>
      </c>
      <c r="U72" s="2">
        <f ca="1">SUMPRODUCT(INDIRECT(ADDRESS($M72,$U$1)&amp;":"&amp;ADDRESS($M72,U$1)),INDIRECT(ADDRESS($N72+1,MAX($1:$1)-U$3+1)&amp;":"&amp;ADDRESS($N72+1,MAX($1:$1))))</f>
        <v>0</v>
      </c>
      <c r="V72" s="2">
        <f t="shared" ref="V72:W72" ca="1" si="109">SUMPRODUCT(INDIRECT(ADDRESS($M72,$U$1)&amp;":"&amp;ADDRESS($M72,V$1)),INDIRECT(ADDRESS($N72+1,MAX($1:$1)-V$3+1)&amp;":"&amp;ADDRESS($N72+1,MAX($1:$1))))</f>
        <v>0</v>
      </c>
      <c r="W72" s="2">
        <f ca="1">SUMPRODUCT(INDIRECT(ADDRESS($M72,$U$1)&amp;":"&amp;ADDRESS($M72,W$1)),INDIRECT(ADDRESS($N72+1,MAX($1:$1)-W$3+1)&amp;":"&amp;ADDRESS($N72+1,MAX($1:$1))))</f>
        <v>0</v>
      </c>
      <c r="X72" s="2">
        <f t="shared" ref="X72:AB72" ca="1" si="110">SUMPRODUCT(INDIRECT(ADDRESS($M72,$U$1)&amp;":"&amp;ADDRESS($M72,X$1)),INDIRECT(ADDRESS($N72+1,MAX($1:$1)-X$3+1)&amp;":"&amp;ADDRESS($N72+1,MAX($1:$1))))</f>
        <v>0</v>
      </c>
      <c r="Y72" s="2">
        <f t="shared" ca="1" si="110"/>
        <v>0</v>
      </c>
      <c r="Z72" s="2">
        <f t="shared" ca="1" si="110"/>
        <v>27777.777777777777</v>
      </c>
      <c r="AA72" s="2">
        <f t="shared" ca="1" si="110"/>
        <v>27777.777777777777</v>
      </c>
      <c r="AB72" s="2">
        <f t="shared" ca="1" si="110"/>
        <v>27777.777777777777</v>
      </c>
    </row>
    <row r="73" spans="1:28" x14ac:dyDescent="0.3">
      <c r="A73" s="11">
        <f>ROW()</f>
        <v>73</v>
      </c>
    </row>
  </sheetData>
  <conditionalFormatting sqref="G7:H18 G74:H310">
    <cfRule type="expression" dxfId="81" priority="84">
      <formula>H7&lt;&gt;""</formula>
    </cfRule>
  </conditionalFormatting>
  <conditionalFormatting sqref="A1:XFD6 B9:XFD9 B8:T8 AC8:XFD8 B11:XFD11 B10:T10 AC10:XFD10 B13:XFD13 B12:T12 AC12:XFD12 B14:Q14 AC14:XFD14 B15:XFD16 B18:XFD18 B17:L17 O17:XFD17 B7:XFD7 A7:A23 A74:XFD1048576">
    <cfRule type="cellIs" dxfId="80" priority="82" operator="equal">
      <formula>0</formula>
    </cfRule>
  </conditionalFormatting>
  <conditionalFormatting sqref="U8:AB8">
    <cfRule type="cellIs" dxfId="79" priority="80" operator="equal">
      <formula>0</formula>
    </cfRule>
  </conditionalFormatting>
  <conditionalFormatting sqref="U10:AB10">
    <cfRule type="cellIs" dxfId="78" priority="79" operator="equal">
      <formula>0</formula>
    </cfRule>
  </conditionalFormatting>
  <conditionalFormatting sqref="U12:AB12">
    <cfRule type="cellIs" dxfId="77" priority="78" operator="equal">
      <formula>0</formula>
    </cfRule>
  </conditionalFormatting>
  <conditionalFormatting sqref="R14:T14">
    <cfRule type="cellIs" dxfId="76" priority="77" operator="equal">
      <formula>0</formula>
    </cfRule>
  </conditionalFormatting>
  <conditionalFormatting sqref="U14:AB14">
    <cfRule type="cellIs" dxfId="75" priority="76" operator="equal">
      <formula>0</formula>
    </cfRule>
  </conditionalFormatting>
  <conditionalFormatting sqref="M17:N17">
    <cfRule type="cellIs" dxfId="74" priority="75" operator="equal">
      <formula>0</formula>
    </cfRule>
  </conditionalFormatting>
  <conditionalFormatting sqref="G19:H23">
    <cfRule type="expression" dxfId="73" priority="74">
      <formula>H19&lt;&gt;""</formula>
    </cfRule>
  </conditionalFormatting>
  <conditionalFormatting sqref="B19:Q19 AC19:XFD19 B20:XFD21 B23:XFD23 B22:L22 O22:XFD22">
    <cfRule type="cellIs" dxfId="72" priority="73" operator="equal">
      <formula>0</formula>
    </cfRule>
  </conditionalFormatting>
  <conditionalFormatting sqref="R19:T19">
    <cfRule type="cellIs" dxfId="71" priority="72" operator="equal">
      <formula>0</formula>
    </cfRule>
  </conditionalFormatting>
  <conditionalFormatting sqref="U19:AB19">
    <cfRule type="cellIs" dxfId="70" priority="71" operator="equal">
      <formula>0</formula>
    </cfRule>
  </conditionalFormatting>
  <conditionalFormatting sqref="M22:N22">
    <cfRule type="cellIs" dxfId="69" priority="70" operator="equal">
      <formula>0</formula>
    </cfRule>
  </conditionalFormatting>
  <conditionalFormatting sqref="A24:A28">
    <cfRule type="cellIs" dxfId="68" priority="69" operator="equal">
      <formula>0</formula>
    </cfRule>
  </conditionalFormatting>
  <conditionalFormatting sqref="G24:H28">
    <cfRule type="expression" dxfId="67" priority="68">
      <formula>H24&lt;&gt;""</formula>
    </cfRule>
  </conditionalFormatting>
  <conditionalFormatting sqref="B24:Q24 AC24:XFD24 B25:XFD26 B28:XFD28 B27:L27 O27:XFD27">
    <cfRule type="cellIs" dxfId="66" priority="67" operator="equal">
      <formula>0</formula>
    </cfRule>
  </conditionalFormatting>
  <conditionalFormatting sqref="R24:T24">
    <cfRule type="cellIs" dxfId="65" priority="66" operator="equal">
      <formula>0</formula>
    </cfRule>
  </conditionalFormatting>
  <conditionalFormatting sqref="U24:AB24">
    <cfRule type="cellIs" dxfId="64" priority="65" operator="equal">
      <formula>0</formula>
    </cfRule>
  </conditionalFormatting>
  <conditionalFormatting sqref="M27:N27">
    <cfRule type="cellIs" dxfId="63" priority="64" operator="equal">
      <formula>0</formula>
    </cfRule>
  </conditionalFormatting>
  <conditionalFormatting sqref="G29:H33">
    <cfRule type="expression" dxfId="62" priority="63">
      <formula>H29&lt;&gt;""</formula>
    </cfRule>
  </conditionalFormatting>
  <conditionalFormatting sqref="B29:Q29 AC29:XFD29 B30:XFD31 B33:XFD33 B32:L32 O32:XFD32 A29:A38">
    <cfRule type="cellIs" dxfId="61" priority="62" operator="equal">
      <formula>0</formula>
    </cfRule>
  </conditionalFormatting>
  <conditionalFormatting sqref="R29:T29">
    <cfRule type="cellIs" dxfId="60" priority="61" operator="equal">
      <formula>0</formula>
    </cfRule>
  </conditionalFormatting>
  <conditionalFormatting sqref="U29:AB29">
    <cfRule type="cellIs" dxfId="59" priority="60" operator="equal">
      <formula>0</formula>
    </cfRule>
  </conditionalFormatting>
  <conditionalFormatting sqref="M32:N32">
    <cfRule type="cellIs" dxfId="58" priority="59" operator="equal">
      <formula>0</formula>
    </cfRule>
  </conditionalFormatting>
  <conditionalFormatting sqref="G34:H35 G37:H38 H36">
    <cfRule type="expression" dxfId="57" priority="58">
      <formula>H34&lt;&gt;""</formula>
    </cfRule>
  </conditionalFormatting>
  <conditionalFormatting sqref="B34:Q34 AC34:XFD34 B35:XFD35 B38:XFD38 B37:L37 O37:XFD37 B36:F36 H36:XFD36">
    <cfRule type="cellIs" dxfId="56" priority="57" operator="equal">
      <formula>0</formula>
    </cfRule>
  </conditionalFormatting>
  <conditionalFormatting sqref="R34:T34">
    <cfRule type="cellIs" dxfId="55" priority="56" operator="equal">
      <formula>0</formula>
    </cfRule>
  </conditionalFormatting>
  <conditionalFormatting sqref="X34:AB34">
    <cfRule type="cellIs" dxfId="54" priority="55" operator="equal">
      <formula>0</formula>
    </cfRule>
  </conditionalFormatting>
  <conditionalFormatting sqref="M37:N37">
    <cfRule type="cellIs" dxfId="53" priority="54" operator="equal">
      <formula>0</formula>
    </cfRule>
  </conditionalFormatting>
  <conditionalFormatting sqref="A39:A43">
    <cfRule type="cellIs" dxfId="52" priority="53" operator="equal">
      <formula>0</formula>
    </cfRule>
  </conditionalFormatting>
  <conditionalFormatting sqref="G39:H40 G42:H43 H41">
    <cfRule type="expression" dxfId="51" priority="52">
      <formula>H39&lt;&gt;""</formula>
    </cfRule>
  </conditionalFormatting>
  <conditionalFormatting sqref="B39:Q39 AC39:XFD39 B40:XFD40 B43:XFD43 B42:L42 O42:XFD42 B41:F41 H41:XFD41">
    <cfRule type="cellIs" dxfId="50" priority="51" operator="equal">
      <formula>0</formula>
    </cfRule>
  </conditionalFormatting>
  <conditionalFormatting sqref="R39:T39">
    <cfRule type="cellIs" dxfId="49" priority="50" operator="equal">
      <formula>0</formula>
    </cfRule>
  </conditionalFormatting>
  <conditionalFormatting sqref="X39:AB39">
    <cfRule type="cellIs" dxfId="48" priority="49" operator="equal">
      <formula>0</formula>
    </cfRule>
  </conditionalFormatting>
  <conditionalFormatting sqref="M42:N42">
    <cfRule type="cellIs" dxfId="47" priority="48" operator="equal">
      <formula>0</formula>
    </cfRule>
  </conditionalFormatting>
  <conditionalFormatting sqref="G41 G36">
    <cfRule type="expression" dxfId="46" priority="47">
      <formula>H36&lt;&gt;""</formula>
    </cfRule>
  </conditionalFormatting>
  <conditionalFormatting sqref="G41 G36">
    <cfRule type="cellIs" dxfId="45" priority="46" operator="equal">
      <formula>0</formula>
    </cfRule>
  </conditionalFormatting>
  <conditionalFormatting sqref="U39:W39 U34:W34">
    <cfRule type="cellIs" dxfId="44" priority="45" operator="equal">
      <formula>0</formula>
    </cfRule>
  </conditionalFormatting>
  <conditionalFormatting sqref="G44:H48">
    <cfRule type="expression" dxfId="43" priority="44">
      <formula>H44&lt;&gt;""</formula>
    </cfRule>
  </conditionalFormatting>
  <conditionalFormatting sqref="B44:Q44 AC44:XFD44 B45:XFD46 B48:XFD48 B47:L47 O47:XFD47 A44:A53">
    <cfRule type="cellIs" dxfId="42" priority="43" operator="equal">
      <formula>0</formula>
    </cfRule>
  </conditionalFormatting>
  <conditionalFormatting sqref="R44:T44">
    <cfRule type="cellIs" dxfId="41" priority="42" operator="equal">
      <formula>0</formula>
    </cfRule>
  </conditionalFormatting>
  <conditionalFormatting sqref="U44:AB44">
    <cfRule type="cellIs" dxfId="40" priority="41" operator="equal">
      <formula>0</formula>
    </cfRule>
  </conditionalFormatting>
  <conditionalFormatting sqref="M47:N47">
    <cfRule type="cellIs" dxfId="39" priority="40" operator="equal">
      <formula>0</formula>
    </cfRule>
  </conditionalFormatting>
  <conditionalFormatting sqref="G49:H50 G52:H53 H51">
    <cfRule type="expression" dxfId="38" priority="39">
      <formula>H49&lt;&gt;""</formula>
    </cfRule>
  </conditionalFormatting>
  <conditionalFormatting sqref="B49:Q49 AC49:XFD49 B50:XFD50 B53:XFD53 B52:L52 O52:XFD52 B51:F51 H51:XFD51">
    <cfRule type="cellIs" dxfId="37" priority="38" operator="equal">
      <formula>0</formula>
    </cfRule>
  </conditionalFormatting>
  <conditionalFormatting sqref="R49:T49">
    <cfRule type="cellIs" dxfId="36" priority="37" operator="equal">
      <formula>0</formula>
    </cfRule>
  </conditionalFormatting>
  <conditionalFormatting sqref="B69:L69 AC69:XFD69 B70:XFD70 B73:XFD73 B72:L72 O72:XFD72 B71:F71 H71:XFD71 N69:Q69">
    <cfRule type="cellIs" dxfId="35" priority="11" operator="equal">
      <formula>0</formula>
    </cfRule>
  </conditionalFormatting>
  <conditionalFormatting sqref="M52:N52">
    <cfRule type="cellIs" dxfId="34" priority="35" operator="equal">
      <formula>0</formula>
    </cfRule>
  </conditionalFormatting>
  <conditionalFormatting sqref="A54:A58">
    <cfRule type="cellIs" dxfId="33" priority="34" operator="equal">
      <formula>0</formula>
    </cfRule>
  </conditionalFormatting>
  <conditionalFormatting sqref="G54:H55 G57:H58 H56">
    <cfRule type="expression" dxfId="32" priority="33">
      <formula>H54&lt;&gt;""</formula>
    </cfRule>
  </conditionalFormatting>
  <conditionalFormatting sqref="B54:Q54 AC54:XFD54 B55:XFD55 B58:XFD58 B57:L57 O57:XFD57 B56:F56 H56:XFD56">
    <cfRule type="cellIs" dxfId="31" priority="32" operator="equal">
      <formula>0</formula>
    </cfRule>
  </conditionalFormatting>
  <conditionalFormatting sqref="R54:T54">
    <cfRule type="cellIs" dxfId="30" priority="31" operator="equal">
      <formula>0</formula>
    </cfRule>
  </conditionalFormatting>
  <conditionalFormatting sqref="M57:N57">
    <cfRule type="cellIs" dxfId="28" priority="29" operator="equal">
      <formula>0</formula>
    </cfRule>
  </conditionalFormatting>
  <conditionalFormatting sqref="M69 M64 M59">
    <cfRule type="cellIs" dxfId="26" priority="5" operator="equal">
      <formula>0</formula>
    </cfRule>
  </conditionalFormatting>
  <conditionalFormatting sqref="U54:AB54 U49:AB49">
    <cfRule type="cellIs" dxfId="24" priority="25" operator="equal">
      <formula>0</formula>
    </cfRule>
  </conditionalFormatting>
  <conditionalFormatting sqref="G56 G51">
    <cfRule type="expression" dxfId="23" priority="24">
      <formula>H51&lt;&gt;""</formula>
    </cfRule>
  </conditionalFormatting>
  <conditionalFormatting sqref="G56 G51">
    <cfRule type="cellIs" dxfId="22" priority="23" operator="equal">
      <formula>0</formula>
    </cfRule>
  </conditionalFormatting>
  <conditionalFormatting sqref="G59:H63">
    <cfRule type="expression" dxfId="21" priority="22">
      <formula>H59&lt;&gt;""</formula>
    </cfRule>
  </conditionalFormatting>
  <conditionalFormatting sqref="B59:L59 AC59:XFD59 B60:XFD61 B63:XFD63 B62:L62 O62:XFD62 A59:A68 N59:Q59">
    <cfRule type="cellIs" dxfId="20" priority="21" operator="equal">
      <formula>0</formula>
    </cfRule>
  </conditionalFormatting>
  <conditionalFormatting sqref="R59:T59">
    <cfRule type="cellIs" dxfId="19" priority="20" operator="equal">
      <formula>0</formula>
    </cfRule>
  </conditionalFormatting>
  <conditionalFormatting sqref="U59:AB59">
    <cfRule type="cellIs" dxfId="18" priority="19" operator="equal">
      <formula>0</formula>
    </cfRule>
  </conditionalFormatting>
  <conditionalFormatting sqref="M62:N62">
    <cfRule type="cellIs" dxfId="17" priority="18" operator="equal">
      <formula>0</formula>
    </cfRule>
  </conditionalFormatting>
  <conditionalFormatting sqref="G64:H65 G67:H68 H66">
    <cfRule type="expression" dxfId="16" priority="17">
      <formula>H64&lt;&gt;""</formula>
    </cfRule>
  </conditionalFormatting>
  <conditionalFormatting sqref="B64:L64 AC64:XFD64 B65:XFD65 B68:XFD68 B67:L67 O67:XFD67 B66:F66 H66:XFD66 N64:Q64">
    <cfRule type="cellIs" dxfId="15" priority="16" operator="equal">
      <formula>0</formula>
    </cfRule>
  </conditionalFormatting>
  <conditionalFormatting sqref="M67:N67">
    <cfRule type="cellIs" dxfId="13" priority="14" operator="equal">
      <formula>0</formula>
    </cfRule>
  </conditionalFormatting>
  <conditionalFormatting sqref="A69:A73">
    <cfRule type="cellIs" dxfId="12" priority="13" operator="equal">
      <formula>0</formula>
    </cfRule>
  </conditionalFormatting>
  <conditionalFormatting sqref="G69:H70 G72:H73 H71">
    <cfRule type="expression" dxfId="11" priority="12">
      <formula>H69&lt;&gt;""</formula>
    </cfRule>
  </conditionalFormatting>
  <conditionalFormatting sqref="M72:N72">
    <cfRule type="cellIs" dxfId="8" priority="9" operator="equal">
      <formula>0</formula>
    </cfRule>
  </conditionalFormatting>
  <conditionalFormatting sqref="R69:T69 R64:T64">
    <cfRule type="cellIs" dxfId="3" priority="4" operator="equal">
      <formula>0</formula>
    </cfRule>
  </conditionalFormatting>
  <conditionalFormatting sqref="U69:AB69 U64:AB64">
    <cfRule type="cellIs" dxfId="2" priority="3" operator="equal">
      <formula>0</formula>
    </cfRule>
  </conditionalFormatting>
  <conditionalFormatting sqref="G71 G66">
    <cfRule type="expression" dxfId="1" priority="2">
      <formula>H66&lt;&gt;""</formula>
    </cfRule>
  </conditionalFormatting>
  <conditionalFormatting sqref="G71 G6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3:J13"/>
  <sheetViews>
    <sheetView showGridLines="0" workbookViewId="0">
      <selection activeCell="J11" sqref="J11"/>
    </sheetView>
  </sheetViews>
  <sheetFormatPr defaultRowHeight="14.4" x14ac:dyDescent="0.3"/>
  <cols>
    <col min="1" max="5" width="1.77734375" customWidth="1"/>
    <col min="8" max="8" width="26.21875" bestFit="1" customWidth="1"/>
    <col min="10" max="10" width="44.88671875" bestFit="1" customWidth="1"/>
  </cols>
  <sheetData>
    <row r="3" spans="4:10" x14ac:dyDescent="0.3">
      <c r="D3" t="s">
        <v>139</v>
      </c>
    </row>
    <row r="5" spans="4:10" s="22" customFormat="1" x14ac:dyDescent="0.3">
      <c r="F5" s="22" t="s">
        <v>140</v>
      </c>
      <c r="H5" s="22" t="s">
        <v>10</v>
      </c>
      <c r="J5" s="39" t="str">
        <f>Rep!$G$151</f>
        <v>Операционные расходы на содержание бизнеса</v>
      </c>
    </row>
    <row r="6" spans="4:10" ht="4.05" customHeight="1" x14ac:dyDescent="0.3">
      <c r="F6" s="23"/>
      <c r="H6" s="23"/>
      <c r="J6" s="23"/>
    </row>
    <row r="7" spans="4:10" ht="4.95" customHeight="1" x14ac:dyDescent="0.3"/>
    <row r="8" spans="4:10" x14ac:dyDescent="0.3">
      <c r="F8" t="s">
        <v>141</v>
      </c>
      <c r="H8" t="s">
        <v>154</v>
      </c>
      <c r="J8" t="s">
        <v>169</v>
      </c>
    </row>
    <row r="9" spans="4:10" x14ac:dyDescent="0.3">
      <c r="F9" t="s">
        <v>142</v>
      </c>
      <c r="H9" t="s">
        <v>155</v>
      </c>
      <c r="J9" t="s">
        <v>170</v>
      </c>
    </row>
    <row r="10" spans="4:10" x14ac:dyDescent="0.3">
      <c r="F10" t="s">
        <v>143</v>
      </c>
      <c r="H10" t="s">
        <v>148</v>
      </c>
      <c r="J10" t="s">
        <v>173</v>
      </c>
    </row>
    <row r="11" spans="4:10" x14ac:dyDescent="0.3">
      <c r="F11" t="s">
        <v>144</v>
      </c>
      <c r="J11" t="s">
        <v>171</v>
      </c>
    </row>
    <row r="12" spans="4:10" x14ac:dyDescent="0.3">
      <c r="F12" t="s">
        <v>145</v>
      </c>
      <c r="J12" t="s">
        <v>172</v>
      </c>
    </row>
    <row r="13" spans="4:10" x14ac:dyDescent="0.3">
      <c r="F1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процессУУ</vt:lpstr>
      <vt:lpstr>Rep</vt:lpstr>
      <vt:lpstr>CAPEX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2025-02-28T08:12:54Z</dcterms:modified>
</cp:coreProperties>
</file>